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20 A VR 21 - 2025 UAECOB/"/>
    </mc:Choice>
  </mc:AlternateContent>
  <xr:revisionPtr revIDLastSave="0" documentId="14_{9DA34275-31BB-4A6E-8C2C-39947A283D74}" xr6:coauthVersionLast="47" xr6:coauthVersionMax="47" xr10:uidLastSave="{00000000-0000-0000-0000-000000000000}"/>
  <bookViews>
    <workbookView xWindow="-110" yWindow="-110" windowWidth="19420" windowHeight="11500" tabRatio="702" xr2:uid="{00000000-000D-0000-FFFF-FFFF00000000}"/>
  </bookViews>
  <sheets>
    <sheet name="PAA VR21 -2025 UAECOB BCS" sheetId="1" r:id="rId1"/>
    <sheet name="PAA" sheetId="16"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'PAA VR21 -2025 UAECOB BCS'!$B$11:$AC$1111</definedName>
    <definedName name="_xlnm._FilterDatabase" localSheetId="4" hidden="1">TD!$K$46:$L$46</definedName>
    <definedName name="_Hlk177992892" localSheetId="0">'PAA VR21 -2025 UAECOB BCS'!$F$657</definedName>
    <definedName name="Sec_Prog_MGA">#REF!</definedName>
  </definedNames>
  <calcPr calcId="191028"/>
  <pivotCaches>
    <pivotCache cacheId="44"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L15" i="1"/>
  <c r="W16" i="1"/>
  <c r="X16" i="1" s="1"/>
  <c r="T16" i="1"/>
  <c r="U16" i="1" s="1"/>
  <c r="P16" i="1"/>
  <c r="Q16" i="1"/>
  <c r="R16" i="1"/>
  <c r="Y16" i="1" l="1"/>
  <c r="AA16" i="1" s="1"/>
  <c r="Z16" i="1"/>
  <c r="P8" i="1" l="1"/>
  <c r="L1072" i="1"/>
  <c r="L155" i="1"/>
  <c r="L616" i="1" l="1"/>
  <c r="L942" i="1"/>
  <c r="L1079" i="1"/>
  <c r="L584" i="1"/>
  <c r="L1049" i="1" l="1"/>
  <c r="L21" i="1"/>
  <c r="L20" i="1"/>
  <c r="L18" i="1"/>
  <c r="L17" i="1"/>
  <c r="L1038" i="1"/>
  <c r="L777" i="1" l="1"/>
  <c r="L906" i="1"/>
  <c r="L778" i="1"/>
  <c r="L776" i="1"/>
  <c r="L875" i="1"/>
  <c r="L775" i="1"/>
  <c r="L774" i="1"/>
  <c r="L772" i="1"/>
  <c r="L475" i="1"/>
  <c r="L473" i="1"/>
  <c r="W1111" i="1"/>
  <c r="X1111" i="1" s="1"/>
  <c r="T1111" i="1"/>
  <c r="U1111" i="1" s="1"/>
  <c r="W1110" i="1"/>
  <c r="X1110" i="1" s="1"/>
  <c r="T1110" i="1"/>
  <c r="U1110" i="1" s="1"/>
  <c r="W1109" i="1"/>
  <c r="X1109" i="1" s="1"/>
  <c r="T1109" i="1"/>
  <c r="U1109" i="1" s="1"/>
  <c r="W15" i="1"/>
  <c r="X15" i="1" s="1"/>
  <c r="T15" i="1"/>
  <c r="U15" i="1" s="1"/>
  <c r="P1111" i="1"/>
  <c r="Q1111" i="1"/>
  <c r="R1111" i="1"/>
  <c r="P1110" i="1"/>
  <c r="Q1110" i="1"/>
  <c r="R1110" i="1"/>
  <c r="P1109" i="1"/>
  <c r="Q1109" i="1"/>
  <c r="R1109" i="1"/>
  <c r="P15" i="1"/>
  <c r="Q15" i="1"/>
  <c r="R15" i="1"/>
  <c r="L1074" i="1"/>
  <c r="W1108" i="1"/>
  <c r="X1108" i="1" s="1"/>
  <c r="T1108" i="1"/>
  <c r="U1108" i="1" s="1"/>
  <c r="P1108" i="1"/>
  <c r="Q1108" i="1"/>
  <c r="R1108" i="1"/>
  <c r="Z15" i="1" l="1"/>
  <c r="Z1111" i="1"/>
  <c r="Y1111" i="1"/>
  <c r="AA1111" i="1" s="1"/>
  <c r="Y1110" i="1"/>
  <c r="AA1110" i="1" s="1"/>
  <c r="Y15" i="1"/>
  <c r="AA15" i="1" s="1"/>
  <c r="Y1109" i="1"/>
  <c r="AA1109" i="1" s="1"/>
  <c r="Z1110" i="1"/>
  <c r="Z1109" i="1"/>
  <c r="Y1108" i="1"/>
  <c r="AA1108" i="1" s="1"/>
  <c r="Z1108" i="1"/>
  <c r="W1107" i="1" l="1"/>
  <c r="X1107" i="1" s="1"/>
  <c r="T1107" i="1"/>
  <c r="U1107" i="1" s="1"/>
  <c r="P1107" i="1"/>
  <c r="Q1107" i="1"/>
  <c r="R1107" i="1"/>
  <c r="W1106" i="1"/>
  <c r="X1106" i="1" s="1"/>
  <c r="W1105" i="1"/>
  <c r="X1105" i="1" s="1"/>
  <c r="W1104" i="1"/>
  <c r="X1104" i="1" s="1"/>
  <c r="W1103" i="1"/>
  <c r="X1103" i="1" s="1"/>
  <c r="W1102" i="1"/>
  <c r="X1102" i="1" s="1"/>
  <c r="W1101" i="1"/>
  <c r="X1101" i="1" s="1"/>
  <c r="T1106" i="1"/>
  <c r="U1106" i="1" s="1"/>
  <c r="T1105" i="1"/>
  <c r="U1105" i="1" s="1"/>
  <c r="T1104" i="1"/>
  <c r="U1104" i="1" s="1"/>
  <c r="T1103" i="1"/>
  <c r="U1103" i="1" s="1"/>
  <c r="T1102" i="1"/>
  <c r="U1102" i="1" s="1"/>
  <c r="T1101" i="1"/>
  <c r="U1101" i="1" s="1"/>
  <c r="P1106" i="1"/>
  <c r="Q1106" i="1"/>
  <c r="R1106" i="1"/>
  <c r="P1105" i="1"/>
  <c r="Q1105" i="1"/>
  <c r="R1105" i="1"/>
  <c r="P1104" i="1"/>
  <c r="Q1104" i="1"/>
  <c r="R1104" i="1"/>
  <c r="P1103" i="1"/>
  <c r="Q1103" i="1"/>
  <c r="R1103" i="1"/>
  <c r="P1102" i="1"/>
  <c r="Q1102" i="1"/>
  <c r="R1102" i="1"/>
  <c r="P1101" i="1"/>
  <c r="Q1101" i="1"/>
  <c r="R1101" i="1"/>
  <c r="W1100" i="1"/>
  <c r="X1100" i="1" s="1"/>
  <c r="W1099" i="1"/>
  <c r="X1099" i="1" s="1"/>
  <c r="W1098" i="1"/>
  <c r="X1098" i="1" s="1"/>
  <c r="T1100" i="1"/>
  <c r="U1100" i="1" s="1"/>
  <c r="T1099" i="1"/>
  <c r="U1099" i="1" s="1"/>
  <c r="T1098" i="1"/>
  <c r="U1098" i="1" s="1"/>
  <c r="P1100" i="1"/>
  <c r="Q1100" i="1"/>
  <c r="R1100" i="1"/>
  <c r="P1099" i="1"/>
  <c r="Q1099" i="1"/>
  <c r="R1099" i="1"/>
  <c r="P1098" i="1"/>
  <c r="Q1098" i="1"/>
  <c r="R1098" i="1"/>
  <c r="W1097" i="1"/>
  <c r="X1097" i="1" s="1"/>
  <c r="W1096" i="1"/>
  <c r="X1096" i="1" s="1"/>
  <c r="W1095" i="1"/>
  <c r="X1095" i="1" s="1"/>
  <c r="T1097" i="1"/>
  <c r="U1097" i="1" s="1"/>
  <c r="T1096" i="1"/>
  <c r="U1096" i="1" s="1"/>
  <c r="T1095" i="1"/>
  <c r="U1095" i="1" s="1"/>
  <c r="P1097" i="1"/>
  <c r="Q1097" i="1"/>
  <c r="R1097" i="1"/>
  <c r="P1096" i="1"/>
  <c r="Q1096" i="1"/>
  <c r="R1096" i="1"/>
  <c r="P1095" i="1"/>
  <c r="Q1095" i="1"/>
  <c r="R1095" i="1"/>
  <c r="W1094" i="1"/>
  <c r="X1094" i="1" s="1"/>
  <c r="T1094" i="1"/>
  <c r="U1094" i="1" s="1"/>
  <c r="P155" i="1"/>
  <c r="P1094" i="1"/>
  <c r="Q1094" i="1"/>
  <c r="R1094" i="1"/>
  <c r="W1093" i="1"/>
  <c r="X1093" i="1" s="1"/>
  <c r="T1093" i="1"/>
  <c r="U1093" i="1" s="1"/>
  <c r="P1093" i="1"/>
  <c r="Q1093" i="1"/>
  <c r="R1093" i="1"/>
  <c r="W1092" i="1"/>
  <c r="X1092" i="1" s="1"/>
  <c r="T1092" i="1"/>
  <c r="U1092" i="1" s="1"/>
  <c r="P1092" i="1"/>
  <c r="Q1092" i="1"/>
  <c r="R1092" i="1"/>
  <c r="T637" i="1"/>
  <c r="U637" i="1" s="1"/>
  <c r="W637" i="1"/>
  <c r="X637" i="1" s="1"/>
  <c r="W1091" i="1"/>
  <c r="X1091" i="1" s="1"/>
  <c r="W1090" i="1"/>
  <c r="X1090" i="1" s="1"/>
  <c r="T1091" i="1"/>
  <c r="U1091" i="1" s="1"/>
  <c r="T1090" i="1"/>
  <c r="U1090" i="1" s="1"/>
  <c r="P17" i="1"/>
  <c r="Q17" i="1"/>
  <c r="R17" i="1"/>
  <c r="T17" i="1"/>
  <c r="U17" i="1" s="1"/>
  <c r="W17" i="1"/>
  <c r="X17" i="1" s="1"/>
  <c r="P18" i="1"/>
  <c r="Q18" i="1"/>
  <c r="R18" i="1"/>
  <c r="T18" i="1"/>
  <c r="U18" i="1" s="1"/>
  <c r="W18" i="1"/>
  <c r="X18" i="1" s="1"/>
  <c r="L19" i="1"/>
  <c r="P19" i="1"/>
  <c r="Q19" i="1"/>
  <c r="R19" i="1"/>
  <c r="T19" i="1"/>
  <c r="U19" i="1" s="1"/>
  <c r="W19" i="1"/>
  <c r="X19" i="1" s="1"/>
  <c r="P20" i="1"/>
  <c r="Q20" i="1"/>
  <c r="R20" i="1"/>
  <c r="T20" i="1"/>
  <c r="U20" i="1" s="1"/>
  <c r="W20" i="1"/>
  <c r="X20" i="1" s="1"/>
  <c r="P21" i="1"/>
  <c r="Q21" i="1"/>
  <c r="R21" i="1"/>
  <c r="T21" i="1"/>
  <c r="U21" i="1" s="1"/>
  <c r="W21" i="1"/>
  <c r="X21" i="1" s="1"/>
  <c r="L22" i="1"/>
  <c r="P22" i="1"/>
  <c r="Q22" i="1"/>
  <c r="R22" i="1"/>
  <c r="T22" i="1"/>
  <c r="U22" i="1" s="1"/>
  <c r="W22" i="1"/>
  <c r="X22" i="1" s="1"/>
  <c r="L23" i="1"/>
  <c r="P23" i="1"/>
  <c r="Q23" i="1"/>
  <c r="R23" i="1"/>
  <c r="T23" i="1"/>
  <c r="U23" i="1" s="1"/>
  <c r="W23" i="1"/>
  <c r="X23" i="1" s="1"/>
  <c r="L24" i="1"/>
  <c r="P24" i="1"/>
  <c r="Q24" i="1"/>
  <c r="R24" i="1"/>
  <c r="T24" i="1"/>
  <c r="U24" i="1" s="1"/>
  <c r="W24" i="1"/>
  <c r="X24" i="1" s="1"/>
  <c r="L25" i="1"/>
  <c r="P25" i="1"/>
  <c r="Q25" i="1"/>
  <c r="R25" i="1"/>
  <c r="T25" i="1"/>
  <c r="U25" i="1" s="1"/>
  <c r="W25" i="1"/>
  <c r="X25" i="1" s="1"/>
  <c r="L26" i="1"/>
  <c r="P26" i="1"/>
  <c r="Q26" i="1"/>
  <c r="R26" i="1"/>
  <c r="T26" i="1"/>
  <c r="U26" i="1" s="1"/>
  <c r="W26" i="1"/>
  <c r="X26" i="1" s="1"/>
  <c r="L27" i="1"/>
  <c r="P27" i="1"/>
  <c r="Q27" i="1"/>
  <c r="R27" i="1"/>
  <c r="T27" i="1"/>
  <c r="U27" i="1" s="1"/>
  <c r="W27" i="1"/>
  <c r="X27" i="1" s="1"/>
  <c r="L28" i="1"/>
  <c r="P28" i="1"/>
  <c r="Q28" i="1"/>
  <c r="R28" i="1"/>
  <c r="T28" i="1"/>
  <c r="U28" i="1" s="1"/>
  <c r="W28" i="1"/>
  <c r="X28" i="1" s="1"/>
  <c r="L29" i="1"/>
  <c r="P29" i="1"/>
  <c r="Q29" i="1"/>
  <c r="R29" i="1"/>
  <c r="T29" i="1"/>
  <c r="U29" i="1" s="1"/>
  <c r="W29" i="1"/>
  <c r="X29" i="1" s="1"/>
  <c r="L30" i="1"/>
  <c r="P30" i="1"/>
  <c r="Q30" i="1"/>
  <c r="R30" i="1"/>
  <c r="T30" i="1"/>
  <c r="U30" i="1" s="1"/>
  <c r="W30" i="1"/>
  <c r="X30" i="1" s="1"/>
  <c r="L31" i="1"/>
  <c r="P31" i="1"/>
  <c r="Q31" i="1"/>
  <c r="R31" i="1"/>
  <c r="T31" i="1"/>
  <c r="U31" i="1" s="1"/>
  <c r="W31" i="1"/>
  <c r="X31" i="1" s="1"/>
  <c r="L32" i="1"/>
  <c r="P32" i="1"/>
  <c r="Q32" i="1"/>
  <c r="R32" i="1"/>
  <c r="T32" i="1"/>
  <c r="U32" i="1" s="1"/>
  <c r="W32" i="1"/>
  <c r="X32" i="1" s="1"/>
  <c r="L33" i="1"/>
  <c r="P33" i="1"/>
  <c r="Q33" i="1"/>
  <c r="R33" i="1"/>
  <c r="T33" i="1"/>
  <c r="U33" i="1" s="1"/>
  <c r="W33" i="1"/>
  <c r="X33" i="1" s="1"/>
  <c r="L34" i="1"/>
  <c r="P34" i="1"/>
  <c r="Q34" i="1"/>
  <c r="R34" i="1"/>
  <c r="T34" i="1"/>
  <c r="U34" i="1" s="1"/>
  <c r="W34" i="1"/>
  <c r="X34" i="1" s="1"/>
  <c r="L35" i="1"/>
  <c r="P35" i="1"/>
  <c r="Q35" i="1"/>
  <c r="R35" i="1"/>
  <c r="T35" i="1"/>
  <c r="U35" i="1" s="1"/>
  <c r="W35" i="1"/>
  <c r="X35" i="1" s="1"/>
  <c r="P36" i="1"/>
  <c r="Q36" i="1"/>
  <c r="R36" i="1"/>
  <c r="T36" i="1"/>
  <c r="U36" i="1" s="1"/>
  <c r="W36" i="1"/>
  <c r="X36" i="1" s="1"/>
  <c r="L37" i="1"/>
  <c r="P37" i="1"/>
  <c r="Q37" i="1"/>
  <c r="R37" i="1"/>
  <c r="T37" i="1"/>
  <c r="U37" i="1" s="1"/>
  <c r="W37" i="1"/>
  <c r="X37" i="1" s="1"/>
  <c r="P38" i="1"/>
  <c r="Q38" i="1"/>
  <c r="R38" i="1"/>
  <c r="T38" i="1"/>
  <c r="U38" i="1" s="1"/>
  <c r="W38" i="1"/>
  <c r="X38" i="1" s="1"/>
  <c r="L39" i="1"/>
  <c r="P39" i="1"/>
  <c r="Q39" i="1"/>
  <c r="R39" i="1"/>
  <c r="T39" i="1"/>
  <c r="U39" i="1" s="1"/>
  <c r="W39" i="1"/>
  <c r="X39" i="1" s="1"/>
  <c r="L40" i="1"/>
  <c r="P40" i="1"/>
  <c r="Q40" i="1"/>
  <c r="R40" i="1"/>
  <c r="T40" i="1"/>
  <c r="U40" i="1" s="1"/>
  <c r="W40" i="1"/>
  <c r="X40" i="1" s="1"/>
  <c r="L41" i="1"/>
  <c r="P41" i="1"/>
  <c r="Q41" i="1"/>
  <c r="R41" i="1"/>
  <c r="T41" i="1"/>
  <c r="U41" i="1" s="1"/>
  <c r="W41" i="1"/>
  <c r="X41" i="1" s="1"/>
  <c r="L42" i="1"/>
  <c r="P42" i="1"/>
  <c r="Q42" i="1"/>
  <c r="R42" i="1"/>
  <c r="T42" i="1"/>
  <c r="U42" i="1" s="1"/>
  <c r="W42" i="1"/>
  <c r="X42" i="1" s="1"/>
  <c r="L43" i="1"/>
  <c r="P43" i="1"/>
  <c r="Q43" i="1"/>
  <c r="R43" i="1"/>
  <c r="T43" i="1"/>
  <c r="U43" i="1" s="1"/>
  <c r="W43" i="1"/>
  <c r="X43" i="1" s="1"/>
  <c r="L44" i="1"/>
  <c r="P44" i="1"/>
  <c r="Q44" i="1"/>
  <c r="R44" i="1"/>
  <c r="T44" i="1"/>
  <c r="U44" i="1" s="1"/>
  <c r="W44" i="1"/>
  <c r="X44" i="1" s="1"/>
  <c r="L45" i="1"/>
  <c r="P45" i="1"/>
  <c r="Q45" i="1"/>
  <c r="R45" i="1"/>
  <c r="T45" i="1"/>
  <c r="U45" i="1" s="1"/>
  <c r="W45" i="1"/>
  <c r="X45" i="1" s="1"/>
  <c r="L46" i="1"/>
  <c r="P46" i="1"/>
  <c r="Q46" i="1"/>
  <c r="R46" i="1"/>
  <c r="T46" i="1"/>
  <c r="U46" i="1" s="1"/>
  <c r="W46" i="1"/>
  <c r="X46" i="1" s="1"/>
  <c r="L47" i="1"/>
  <c r="P47" i="1"/>
  <c r="Q47" i="1"/>
  <c r="R47" i="1"/>
  <c r="T47" i="1"/>
  <c r="U47" i="1" s="1"/>
  <c r="W47" i="1"/>
  <c r="X47" i="1" s="1"/>
  <c r="L48" i="1"/>
  <c r="P48" i="1"/>
  <c r="Q48" i="1"/>
  <c r="R48" i="1"/>
  <c r="T48" i="1"/>
  <c r="U48" i="1" s="1"/>
  <c r="W48" i="1"/>
  <c r="X48" i="1" s="1"/>
  <c r="L49" i="1"/>
  <c r="P49" i="1"/>
  <c r="Q49" i="1"/>
  <c r="R49" i="1"/>
  <c r="T49" i="1"/>
  <c r="U49" i="1" s="1"/>
  <c r="W49" i="1"/>
  <c r="X49" i="1" s="1"/>
  <c r="L50" i="1"/>
  <c r="P50" i="1"/>
  <c r="Q50" i="1"/>
  <c r="R50" i="1"/>
  <c r="T50" i="1"/>
  <c r="U50" i="1" s="1"/>
  <c r="W50" i="1"/>
  <c r="X50" i="1" s="1"/>
  <c r="L51" i="1"/>
  <c r="P51" i="1"/>
  <c r="Q51" i="1"/>
  <c r="R51" i="1"/>
  <c r="T51" i="1"/>
  <c r="U51" i="1" s="1"/>
  <c r="W51" i="1"/>
  <c r="X51" i="1" s="1"/>
  <c r="L52" i="1"/>
  <c r="P52" i="1"/>
  <c r="Q52" i="1"/>
  <c r="R52" i="1"/>
  <c r="T52" i="1"/>
  <c r="U52" i="1" s="1"/>
  <c r="W52" i="1"/>
  <c r="X52" i="1" s="1"/>
  <c r="L53" i="1"/>
  <c r="P53" i="1"/>
  <c r="Q53" i="1"/>
  <c r="R53" i="1"/>
  <c r="T53" i="1"/>
  <c r="U53" i="1" s="1"/>
  <c r="W53" i="1"/>
  <c r="X53" i="1" s="1"/>
  <c r="L54" i="1"/>
  <c r="P54" i="1"/>
  <c r="Q54" i="1"/>
  <c r="R54" i="1"/>
  <c r="T54" i="1"/>
  <c r="U54" i="1" s="1"/>
  <c r="W54" i="1"/>
  <c r="X54" i="1" s="1"/>
  <c r="L55" i="1"/>
  <c r="P55" i="1"/>
  <c r="Q55" i="1"/>
  <c r="R55" i="1"/>
  <c r="T55" i="1"/>
  <c r="U55" i="1" s="1"/>
  <c r="W55" i="1"/>
  <c r="X55" i="1" s="1"/>
  <c r="L56" i="1"/>
  <c r="P56" i="1"/>
  <c r="Q56" i="1"/>
  <c r="R56" i="1"/>
  <c r="T56" i="1"/>
  <c r="U56" i="1" s="1"/>
  <c r="W56" i="1"/>
  <c r="X56" i="1" s="1"/>
  <c r="P57" i="1"/>
  <c r="Q57" i="1"/>
  <c r="R57" i="1"/>
  <c r="T57" i="1"/>
  <c r="U57" i="1" s="1"/>
  <c r="W57" i="1"/>
  <c r="X57" i="1" s="1"/>
  <c r="L58" i="1"/>
  <c r="P58" i="1"/>
  <c r="Q58" i="1"/>
  <c r="R58" i="1"/>
  <c r="T58" i="1"/>
  <c r="U58" i="1" s="1"/>
  <c r="W58" i="1"/>
  <c r="X58" i="1" s="1"/>
  <c r="L59" i="1"/>
  <c r="P59" i="1"/>
  <c r="Q59" i="1"/>
  <c r="R59" i="1"/>
  <c r="T59" i="1"/>
  <c r="U59" i="1" s="1"/>
  <c r="W59" i="1"/>
  <c r="X59" i="1" s="1"/>
  <c r="P60" i="1"/>
  <c r="Q60" i="1"/>
  <c r="R60" i="1"/>
  <c r="T60" i="1"/>
  <c r="U60" i="1" s="1"/>
  <c r="W60" i="1"/>
  <c r="X60" i="1" s="1"/>
  <c r="P61" i="1"/>
  <c r="Q61" i="1"/>
  <c r="R61" i="1"/>
  <c r="T61" i="1"/>
  <c r="U61" i="1" s="1"/>
  <c r="W61" i="1"/>
  <c r="X61" i="1" s="1"/>
  <c r="P62" i="1"/>
  <c r="Q62" i="1"/>
  <c r="R62" i="1"/>
  <c r="T62" i="1"/>
  <c r="U62" i="1" s="1"/>
  <c r="W62" i="1"/>
  <c r="X62" i="1" s="1"/>
  <c r="P63" i="1"/>
  <c r="Q63" i="1"/>
  <c r="R63" i="1"/>
  <c r="T63" i="1"/>
  <c r="U63" i="1" s="1"/>
  <c r="W63" i="1"/>
  <c r="X63" i="1" s="1"/>
  <c r="P64" i="1"/>
  <c r="Q64" i="1"/>
  <c r="R64" i="1"/>
  <c r="T64" i="1"/>
  <c r="U64" i="1" s="1"/>
  <c r="W64" i="1"/>
  <c r="X64" i="1" s="1"/>
  <c r="P65" i="1"/>
  <c r="Q65" i="1"/>
  <c r="R65" i="1"/>
  <c r="T65" i="1"/>
  <c r="U65" i="1" s="1"/>
  <c r="W65" i="1"/>
  <c r="X65" i="1" s="1"/>
  <c r="P66" i="1"/>
  <c r="Q66" i="1"/>
  <c r="R66" i="1"/>
  <c r="T66" i="1"/>
  <c r="U66" i="1" s="1"/>
  <c r="W66" i="1"/>
  <c r="X66" i="1" s="1"/>
  <c r="P67" i="1"/>
  <c r="Q67" i="1"/>
  <c r="R67" i="1"/>
  <c r="T67" i="1"/>
  <c r="U67" i="1" s="1"/>
  <c r="W67" i="1"/>
  <c r="X67" i="1" s="1"/>
  <c r="P68" i="1"/>
  <c r="Q68" i="1"/>
  <c r="R68" i="1"/>
  <c r="T68" i="1"/>
  <c r="U68" i="1" s="1"/>
  <c r="W68" i="1"/>
  <c r="X68" i="1" s="1"/>
  <c r="P69" i="1"/>
  <c r="Q69" i="1"/>
  <c r="R69" i="1"/>
  <c r="T69" i="1"/>
  <c r="U69" i="1" s="1"/>
  <c r="W69" i="1"/>
  <c r="X69" i="1" s="1"/>
  <c r="P70" i="1"/>
  <c r="Q70" i="1"/>
  <c r="R70" i="1"/>
  <c r="T70" i="1"/>
  <c r="U70" i="1" s="1"/>
  <c r="W70" i="1"/>
  <c r="X70" i="1" s="1"/>
  <c r="P71" i="1"/>
  <c r="Q71" i="1"/>
  <c r="R71" i="1"/>
  <c r="T71" i="1"/>
  <c r="U71" i="1" s="1"/>
  <c r="W71" i="1"/>
  <c r="X71" i="1" s="1"/>
  <c r="P72" i="1"/>
  <c r="Q72" i="1"/>
  <c r="R72" i="1"/>
  <c r="T72" i="1"/>
  <c r="U72" i="1" s="1"/>
  <c r="W72" i="1"/>
  <c r="X72" i="1" s="1"/>
  <c r="P73" i="1"/>
  <c r="Q73" i="1"/>
  <c r="R73" i="1"/>
  <c r="T73" i="1"/>
  <c r="U73" i="1" s="1"/>
  <c r="W73" i="1"/>
  <c r="X73" i="1" s="1"/>
  <c r="P74" i="1"/>
  <c r="Q74" i="1"/>
  <c r="R74" i="1"/>
  <c r="T74" i="1"/>
  <c r="U74" i="1" s="1"/>
  <c r="W74" i="1"/>
  <c r="X74" i="1" s="1"/>
  <c r="P75" i="1"/>
  <c r="Q75" i="1"/>
  <c r="R75" i="1"/>
  <c r="T75" i="1"/>
  <c r="U75" i="1" s="1"/>
  <c r="W75" i="1"/>
  <c r="X75" i="1" s="1"/>
  <c r="P76" i="1"/>
  <c r="Q76" i="1"/>
  <c r="R76" i="1"/>
  <c r="T76" i="1"/>
  <c r="U76" i="1" s="1"/>
  <c r="W76" i="1"/>
  <c r="X76" i="1" s="1"/>
  <c r="P77" i="1"/>
  <c r="Q77" i="1"/>
  <c r="R77" i="1"/>
  <c r="T77" i="1"/>
  <c r="U77" i="1" s="1"/>
  <c r="W77" i="1"/>
  <c r="X77" i="1" s="1"/>
  <c r="P78" i="1"/>
  <c r="Q78" i="1"/>
  <c r="R78" i="1"/>
  <c r="T78" i="1"/>
  <c r="U78" i="1" s="1"/>
  <c r="W78" i="1"/>
  <c r="X78" i="1" s="1"/>
  <c r="P79" i="1"/>
  <c r="Q79" i="1"/>
  <c r="R79" i="1"/>
  <c r="T79" i="1"/>
  <c r="U79" i="1" s="1"/>
  <c r="W79" i="1"/>
  <c r="X79" i="1" s="1"/>
  <c r="P80" i="1"/>
  <c r="Q80" i="1"/>
  <c r="R80" i="1"/>
  <c r="T80" i="1"/>
  <c r="U80" i="1" s="1"/>
  <c r="W80" i="1"/>
  <c r="X80" i="1" s="1"/>
  <c r="P81" i="1"/>
  <c r="Q81" i="1"/>
  <c r="R81" i="1"/>
  <c r="T81" i="1"/>
  <c r="U81" i="1" s="1"/>
  <c r="W81" i="1"/>
  <c r="X81" i="1" s="1"/>
  <c r="P82" i="1"/>
  <c r="Q82" i="1"/>
  <c r="R82" i="1"/>
  <c r="T82" i="1"/>
  <c r="U82" i="1" s="1"/>
  <c r="W82" i="1"/>
  <c r="X82" i="1" s="1"/>
  <c r="P83" i="1"/>
  <c r="Q83" i="1"/>
  <c r="R83" i="1"/>
  <c r="T83" i="1"/>
  <c r="U83" i="1" s="1"/>
  <c r="W83" i="1"/>
  <c r="X83" i="1" s="1"/>
  <c r="P84" i="1"/>
  <c r="Q84" i="1"/>
  <c r="R84" i="1"/>
  <c r="T84" i="1"/>
  <c r="U84" i="1" s="1"/>
  <c r="W84" i="1"/>
  <c r="X84" i="1" s="1"/>
  <c r="P85" i="1"/>
  <c r="Q85" i="1"/>
  <c r="R85" i="1"/>
  <c r="T85" i="1"/>
  <c r="U85" i="1" s="1"/>
  <c r="W85" i="1"/>
  <c r="X85" i="1" s="1"/>
  <c r="P86" i="1"/>
  <c r="Q86" i="1"/>
  <c r="R86" i="1"/>
  <c r="T86" i="1"/>
  <c r="U86" i="1" s="1"/>
  <c r="W86" i="1"/>
  <c r="X86" i="1" s="1"/>
  <c r="P87" i="1"/>
  <c r="Q87" i="1"/>
  <c r="R87" i="1"/>
  <c r="T87" i="1"/>
  <c r="U87" i="1" s="1"/>
  <c r="W87" i="1"/>
  <c r="X87" i="1" s="1"/>
  <c r="L88" i="1"/>
  <c r="P88" i="1"/>
  <c r="Q88" i="1"/>
  <c r="R88" i="1"/>
  <c r="T88" i="1"/>
  <c r="U88" i="1" s="1"/>
  <c r="W88" i="1"/>
  <c r="X88" i="1" s="1"/>
  <c r="L89" i="1"/>
  <c r="P89" i="1"/>
  <c r="Q89" i="1"/>
  <c r="R89" i="1"/>
  <c r="T89" i="1"/>
  <c r="U89" i="1" s="1"/>
  <c r="W89" i="1"/>
  <c r="X89" i="1" s="1"/>
  <c r="P90" i="1"/>
  <c r="Q90" i="1"/>
  <c r="R90" i="1"/>
  <c r="T90" i="1"/>
  <c r="U90" i="1" s="1"/>
  <c r="W90" i="1"/>
  <c r="X90" i="1" s="1"/>
  <c r="P91" i="1"/>
  <c r="Q91" i="1"/>
  <c r="R91" i="1"/>
  <c r="T91" i="1"/>
  <c r="U91" i="1" s="1"/>
  <c r="W91" i="1"/>
  <c r="X91" i="1" s="1"/>
  <c r="L92" i="1"/>
  <c r="P92" i="1"/>
  <c r="Q92" i="1"/>
  <c r="R92" i="1"/>
  <c r="T92" i="1"/>
  <c r="U92" i="1" s="1"/>
  <c r="W92" i="1"/>
  <c r="X92" i="1" s="1"/>
  <c r="P93" i="1"/>
  <c r="Q93" i="1"/>
  <c r="R93" i="1"/>
  <c r="T93" i="1"/>
  <c r="U93" i="1" s="1"/>
  <c r="W93" i="1"/>
  <c r="X93" i="1" s="1"/>
  <c r="P94" i="1"/>
  <c r="Q94" i="1"/>
  <c r="R94" i="1"/>
  <c r="T94" i="1"/>
  <c r="U94" i="1" s="1"/>
  <c r="W94" i="1"/>
  <c r="X94" i="1" s="1"/>
  <c r="P95" i="1"/>
  <c r="Q95" i="1"/>
  <c r="R95" i="1"/>
  <c r="T95" i="1"/>
  <c r="U95" i="1" s="1"/>
  <c r="W95" i="1"/>
  <c r="X95" i="1" s="1"/>
  <c r="L96" i="1"/>
  <c r="P96" i="1"/>
  <c r="Q96" i="1"/>
  <c r="R96" i="1"/>
  <c r="T96" i="1"/>
  <c r="U96" i="1" s="1"/>
  <c r="W96" i="1"/>
  <c r="X96" i="1" s="1"/>
  <c r="P97" i="1"/>
  <c r="Q97" i="1"/>
  <c r="R97" i="1"/>
  <c r="T97" i="1"/>
  <c r="U97" i="1" s="1"/>
  <c r="W97" i="1"/>
  <c r="X97" i="1" s="1"/>
  <c r="P98" i="1"/>
  <c r="Q98" i="1"/>
  <c r="R98" i="1"/>
  <c r="T98" i="1"/>
  <c r="U98" i="1" s="1"/>
  <c r="W98" i="1"/>
  <c r="X98" i="1" s="1"/>
  <c r="L99" i="1"/>
  <c r="P99" i="1"/>
  <c r="Q99" i="1"/>
  <c r="R99" i="1"/>
  <c r="T99" i="1"/>
  <c r="U99" i="1" s="1"/>
  <c r="W99" i="1"/>
  <c r="X99" i="1" s="1"/>
  <c r="P100" i="1"/>
  <c r="Q100" i="1"/>
  <c r="R100" i="1"/>
  <c r="T100" i="1"/>
  <c r="U100" i="1" s="1"/>
  <c r="W100" i="1"/>
  <c r="X100" i="1" s="1"/>
  <c r="L101" i="1"/>
  <c r="P101" i="1"/>
  <c r="Q101" i="1"/>
  <c r="R101" i="1"/>
  <c r="T101" i="1"/>
  <c r="U101" i="1" s="1"/>
  <c r="W101" i="1"/>
  <c r="X101" i="1" s="1"/>
  <c r="L102" i="1"/>
  <c r="P102" i="1"/>
  <c r="Q102" i="1"/>
  <c r="R102" i="1"/>
  <c r="T102" i="1"/>
  <c r="U102" i="1" s="1"/>
  <c r="W102" i="1"/>
  <c r="X102" i="1" s="1"/>
  <c r="L103" i="1"/>
  <c r="P103" i="1"/>
  <c r="Q103" i="1"/>
  <c r="R103" i="1"/>
  <c r="T103" i="1"/>
  <c r="U103" i="1" s="1"/>
  <c r="W103" i="1"/>
  <c r="X103" i="1" s="1"/>
  <c r="P104" i="1"/>
  <c r="Q104" i="1"/>
  <c r="R104" i="1"/>
  <c r="T104" i="1"/>
  <c r="U104" i="1" s="1"/>
  <c r="W104" i="1"/>
  <c r="X104" i="1" s="1"/>
  <c r="L105" i="1"/>
  <c r="P105" i="1"/>
  <c r="Q105" i="1"/>
  <c r="R105" i="1"/>
  <c r="T105" i="1"/>
  <c r="U105" i="1" s="1"/>
  <c r="W105" i="1"/>
  <c r="X105" i="1" s="1"/>
  <c r="P106" i="1"/>
  <c r="Q106" i="1"/>
  <c r="R106" i="1"/>
  <c r="T106" i="1"/>
  <c r="U106" i="1" s="1"/>
  <c r="W106" i="1"/>
  <c r="X106" i="1" s="1"/>
  <c r="P107" i="1"/>
  <c r="Q107" i="1"/>
  <c r="R107" i="1"/>
  <c r="T107" i="1"/>
  <c r="U107" i="1" s="1"/>
  <c r="W107" i="1"/>
  <c r="X107" i="1" s="1"/>
  <c r="L108" i="1"/>
  <c r="P108" i="1"/>
  <c r="Q108" i="1"/>
  <c r="R108" i="1"/>
  <c r="T108" i="1"/>
  <c r="U108" i="1" s="1"/>
  <c r="W108" i="1"/>
  <c r="X108" i="1" s="1"/>
  <c r="L109" i="1"/>
  <c r="P109" i="1"/>
  <c r="Q109" i="1"/>
  <c r="R109" i="1"/>
  <c r="T109" i="1"/>
  <c r="U109" i="1" s="1"/>
  <c r="W109" i="1"/>
  <c r="X109" i="1" s="1"/>
  <c r="P110" i="1"/>
  <c r="Q110" i="1"/>
  <c r="R110" i="1"/>
  <c r="T110" i="1"/>
  <c r="U110" i="1" s="1"/>
  <c r="W110" i="1"/>
  <c r="X110" i="1" s="1"/>
  <c r="L111" i="1"/>
  <c r="P111" i="1"/>
  <c r="Q111" i="1"/>
  <c r="R111" i="1"/>
  <c r="T111" i="1"/>
  <c r="U111" i="1" s="1"/>
  <c r="W111" i="1"/>
  <c r="X111" i="1" s="1"/>
  <c r="L112" i="1"/>
  <c r="P112" i="1"/>
  <c r="Q112" i="1"/>
  <c r="R112" i="1"/>
  <c r="T112" i="1"/>
  <c r="U112" i="1" s="1"/>
  <c r="W112" i="1"/>
  <c r="X112" i="1" s="1"/>
  <c r="L113" i="1"/>
  <c r="P113" i="1"/>
  <c r="Q113" i="1"/>
  <c r="R113" i="1"/>
  <c r="T113" i="1"/>
  <c r="U113" i="1" s="1"/>
  <c r="W113" i="1"/>
  <c r="X113" i="1" s="1"/>
  <c r="L114" i="1"/>
  <c r="P114" i="1"/>
  <c r="Q114" i="1"/>
  <c r="R114" i="1"/>
  <c r="T114" i="1"/>
  <c r="U114" i="1" s="1"/>
  <c r="W114" i="1"/>
  <c r="X114" i="1" s="1"/>
  <c r="L115" i="1"/>
  <c r="P115" i="1"/>
  <c r="Q115" i="1"/>
  <c r="R115" i="1"/>
  <c r="T115" i="1"/>
  <c r="U115" i="1" s="1"/>
  <c r="W115" i="1"/>
  <c r="X115" i="1" s="1"/>
  <c r="L116" i="1"/>
  <c r="P116" i="1"/>
  <c r="Q116" i="1"/>
  <c r="R116" i="1"/>
  <c r="T116" i="1"/>
  <c r="U116" i="1" s="1"/>
  <c r="W116" i="1"/>
  <c r="X116" i="1" s="1"/>
  <c r="P117" i="1"/>
  <c r="Q117" i="1"/>
  <c r="R117" i="1"/>
  <c r="T117" i="1"/>
  <c r="U117" i="1" s="1"/>
  <c r="W117" i="1"/>
  <c r="X117" i="1" s="1"/>
  <c r="L118" i="1"/>
  <c r="P118" i="1"/>
  <c r="Q118" i="1"/>
  <c r="R118" i="1"/>
  <c r="T118" i="1"/>
  <c r="U118" i="1" s="1"/>
  <c r="W118" i="1"/>
  <c r="X118" i="1" s="1"/>
  <c r="L119" i="1"/>
  <c r="P119" i="1"/>
  <c r="Q119" i="1"/>
  <c r="R119" i="1"/>
  <c r="T119" i="1"/>
  <c r="U119" i="1" s="1"/>
  <c r="W119" i="1"/>
  <c r="X119" i="1" s="1"/>
  <c r="L120" i="1"/>
  <c r="P120" i="1"/>
  <c r="Q120" i="1"/>
  <c r="R120" i="1"/>
  <c r="T120" i="1"/>
  <c r="U120" i="1" s="1"/>
  <c r="W120" i="1"/>
  <c r="X120" i="1" s="1"/>
  <c r="L121" i="1"/>
  <c r="P121" i="1"/>
  <c r="Q121" i="1"/>
  <c r="R121" i="1"/>
  <c r="T121" i="1"/>
  <c r="U121" i="1" s="1"/>
  <c r="W121" i="1"/>
  <c r="X121" i="1" s="1"/>
  <c r="L122" i="1"/>
  <c r="P122" i="1"/>
  <c r="Q122" i="1"/>
  <c r="R122" i="1"/>
  <c r="T122" i="1"/>
  <c r="U122" i="1" s="1"/>
  <c r="W122" i="1"/>
  <c r="X122" i="1" s="1"/>
  <c r="L123" i="1"/>
  <c r="P123" i="1"/>
  <c r="Q123" i="1"/>
  <c r="R123" i="1"/>
  <c r="T123" i="1"/>
  <c r="U123" i="1" s="1"/>
  <c r="W123" i="1"/>
  <c r="X123" i="1" s="1"/>
  <c r="L124" i="1"/>
  <c r="P124" i="1"/>
  <c r="Q124" i="1"/>
  <c r="R124" i="1"/>
  <c r="T124" i="1"/>
  <c r="U124" i="1" s="1"/>
  <c r="W124" i="1"/>
  <c r="X124" i="1" s="1"/>
  <c r="L125" i="1"/>
  <c r="P125" i="1"/>
  <c r="Q125" i="1"/>
  <c r="R125" i="1"/>
  <c r="T125" i="1"/>
  <c r="U125" i="1" s="1"/>
  <c r="W125" i="1"/>
  <c r="X125" i="1" s="1"/>
  <c r="L126" i="1"/>
  <c r="P126" i="1"/>
  <c r="Q126" i="1"/>
  <c r="R126" i="1"/>
  <c r="T126" i="1"/>
  <c r="U126" i="1" s="1"/>
  <c r="W126" i="1"/>
  <c r="X126" i="1" s="1"/>
  <c r="L127" i="1"/>
  <c r="P127" i="1"/>
  <c r="Q127" i="1"/>
  <c r="R127" i="1"/>
  <c r="T127" i="1"/>
  <c r="U127" i="1" s="1"/>
  <c r="W127" i="1"/>
  <c r="X127" i="1" s="1"/>
  <c r="L128" i="1"/>
  <c r="P128" i="1"/>
  <c r="Q128" i="1"/>
  <c r="R128" i="1"/>
  <c r="T128" i="1"/>
  <c r="U128" i="1" s="1"/>
  <c r="W128" i="1"/>
  <c r="X128" i="1" s="1"/>
  <c r="L129" i="1"/>
  <c r="P129" i="1"/>
  <c r="Q129" i="1"/>
  <c r="R129" i="1"/>
  <c r="T129" i="1"/>
  <c r="U129" i="1" s="1"/>
  <c r="W129" i="1"/>
  <c r="X129" i="1" s="1"/>
  <c r="L130" i="1"/>
  <c r="P130" i="1"/>
  <c r="Q130" i="1"/>
  <c r="R130" i="1"/>
  <c r="T130" i="1"/>
  <c r="U130" i="1" s="1"/>
  <c r="W130" i="1"/>
  <c r="X130" i="1" s="1"/>
  <c r="L131" i="1"/>
  <c r="P131" i="1"/>
  <c r="Q131" i="1"/>
  <c r="R131" i="1"/>
  <c r="T131" i="1"/>
  <c r="U131" i="1" s="1"/>
  <c r="W131" i="1"/>
  <c r="X131" i="1" s="1"/>
  <c r="L132" i="1"/>
  <c r="P132" i="1"/>
  <c r="Q132" i="1"/>
  <c r="R132" i="1"/>
  <c r="T132" i="1"/>
  <c r="U132" i="1" s="1"/>
  <c r="W132" i="1"/>
  <c r="X132" i="1" s="1"/>
  <c r="L133" i="1"/>
  <c r="P133" i="1"/>
  <c r="Q133" i="1"/>
  <c r="R133" i="1"/>
  <c r="T133" i="1"/>
  <c r="U133" i="1" s="1"/>
  <c r="W133" i="1"/>
  <c r="X133" i="1" s="1"/>
  <c r="L134" i="1"/>
  <c r="P134" i="1"/>
  <c r="Q134" i="1"/>
  <c r="R134" i="1"/>
  <c r="T134" i="1"/>
  <c r="U134" i="1" s="1"/>
  <c r="W134" i="1"/>
  <c r="X134" i="1" s="1"/>
  <c r="L135" i="1"/>
  <c r="P135" i="1"/>
  <c r="Q135" i="1"/>
  <c r="R135" i="1"/>
  <c r="T135" i="1"/>
  <c r="U135" i="1" s="1"/>
  <c r="W135" i="1"/>
  <c r="X135" i="1" s="1"/>
  <c r="L136" i="1"/>
  <c r="P136" i="1"/>
  <c r="Q136" i="1"/>
  <c r="R136" i="1"/>
  <c r="T136" i="1"/>
  <c r="U136" i="1" s="1"/>
  <c r="W136" i="1"/>
  <c r="X136" i="1" s="1"/>
  <c r="L137" i="1"/>
  <c r="P137" i="1"/>
  <c r="Q137" i="1"/>
  <c r="R137" i="1"/>
  <c r="T137" i="1"/>
  <c r="U137" i="1" s="1"/>
  <c r="W137" i="1"/>
  <c r="X137" i="1" s="1"/>
  <c r="L138" i="1"/>
  <c r="P138" i="1"/>
  <c r="Q138" i="1"/>
  <c r="R138" i="1"/>
  <c r="T138" i="1"/>
  <c r="U138" i="1" s="1"/>
  <c r="W138" i="1"/>
  <c r="X138" i="1" s="1"/>
  <c r="L139" i="1"/>
  <c r="P139" i="1"/>
  <c r="Q139" i="1"/>
  <c r="R139" i="1"/>
  <c r="T139" i="1"/>
  <c r="U139" i="1" s="1"/>
  <c r="W139" i="1"/>
  <c r="X139" i="1" s="1"/>
  <c r="L140" i="1"/>
  <c r="P140" i="1"/>
  <c r="Q140" i="1"/>
  <c r="R140" i="1"/>
  <c r="T140" i="1"/>
  <c r="U140" i="1" s="1"/>
  <c r="W140" i="1"/>
  <c r="X140" i="1" s="1"/>
  <c r="P141" i="1"/>
  <c r="Q141" i="1"/>
  <c r="R141" i="1"/>
  <c r="T141" i="1"/>
  <c r="U141" i="1" s="1"/>
  <c r="W141" i="1"/>
  <c r="X141" i="1" s="1"/>
  <c r="P142" i="1"/>
  <c r="Q142" i="1"/>
  <c r="R142" i="1"/>
  <c r="T142" i="1"/>
  <c r="U142" i="1" s="1"/>
  <c r="W142" i="1"/>
  <c r="X142" i="1" s="1"/>
  <c r="L143" i="1"/>
  <c r="P143" i="1"/>
  <c r="Q143" i="1"/>
  <c r="R143" i="1"/>
  <c r="T143" i="1"/>
  <c r="U143" i="1" s="1"/>
  <c r="W143" i="1"/>
  <c r="X143" i="1" s="1"/>
  <c r="L144" i="1"/>
  <c r="P144" i="1"/>
  <c r="Q144" i="1"/>
  <c r="R144" i="1"/>
  <c r="T144" i="1"/>
  <c r="U144" i="1" s="1"/>
  <c r="W144" i="1"/>
  <c r="X144" i="1" s="1"/>
  <c r="P145" i="1"/>
  <c r="Q145" i="1"/>
  <c r="R145" i="1"/>
  <c r="T145" i="1"/>
  <c r="U145" i="1" s="1"/>
  <c r="W145" i="1"/>
  <c r="X145" i="1" s="1"/>
  <c r="L146" i="1"/>
  <c r="P146" i="1"/>
  <c r="Q146" i="1"/>
  <c r="R146" i="1"/>
  <c r="T146" i="1"/>
  <c r="U146" i="1" s="1"/>
  <c r="W146" i="1"/>
  <c r="X146" i="1" s="1"/>
  <c r="L147" i="1"/>
  <c r="P147" i="1"/>
  <c r="Q147" i="1"/>
  <c r="R147" i="1"/>
  <c r="T147" i="1"/>
  <c r="U147" i="1" s="1"/>
  <c r="W147" i="1"/>
  <c r="X147" i="1" s="1"/>
  <c r="L148" i="1"/>
  <c r="P148" i="1"/>
  <c r="Q148" i="1"/>
  <c r="R148" i="1"/>
  <c r="T148" i="1"/>
  <c r="U148" i="1" s="1"/>
  <c r="W148" i="1"/>
  <c r="X148" i="1" s="1"/>
  <c r="P149" i="1"/>
  <c r="Q149" i="1"/>
  <c r="R149" i="1"/>
  <c r="T149" i="1"/>
  <c r="U149" i="1" s="1"/>
  <c r="W149" i="1"/>
  <c r="X149" i="1" s="1"/>
  <c r="P150" i="1"/>
  <c r="Q150" i="1"/>
  <c r="R150" i="1"/>
  <c r="T150" i="1"/>
  <c r="U150" i="1" s="1"/>
  <c r="W150" i="1"/>
  <c r="X150" i="1" s="1"/>
  <c r="P151" i="1"/>
  <c r="Q151" i="1"/>
  <c r="R151" i="1"/>
  <c r="T151" i="1"/>
  <c r="U151" i="1" s="1"/>
  <c r="W151" i="1"/>
  <c r="X151" i="1" s="1"/>
  <c r="P152" i="1"/>
  <c r="Q152" i="1"/>
  <c r="R152" i="1"/>
  <c r="T152" i="1"/>
  <c r="U152" i="1" s="1"/>
  <c r="W152" i="1"/>
  <c r="X152" i="1" s="1"/>
  <c r="P153" i="1"/>
  <c r="Q153" i="1"/>
  <c r="R153" i="1"/>
  <c r="T153" i="1"/>
  <c r="U153" i="1" s="1"/>
  <c r="W153" i="1"/>
  <c r="X153" i="1" s="1"/>
  <c r="P154" i="1"/>
  <c r="Q154" i="1"/>
  <c r="R154" i="1"/>
  <c r="T154" i="1"/>
  <c r="U154" i="1" s="1"/>
  <c r="W154" i="1"/>
  <c r="X154" i="1" s="1"/>
  <c r="Q155" i="1"/>
  <c r="R155" i="1"/>
  <c r="T155" i="1"/>
  <c r="U155" i="1" s="1"/>
  <c r="W155" i="1"/>
  <c r="X155" i="1" s="1"/>
  <c r="P156" i="1"/>
  <c r="Q156" i="1"/>
  <c r="R156" i="1"/>
  <c r="T156" i="1"/>
  <c r="U156" i="1" s="1"/>
  <c r="W156" i="1"/>
  <c r="X156" i="1" s="1"/>
  <c r="P157" i="1"/>
  <c r="Q157" i="1"/>
  <c r="R157" i="1"/>
  <c r="T157" i="1"/>
  <c r="U157" i="1" s="1"/>
  <c r="W157" i="1"/>
  <c r="X157" i="1" s="1"/>
  <c r="P158" i="1"/>
  <c r="Q158" i="1"/>
  <c r="R158" i="1"/>
  <c r="T158" i="1"/>
  <c r="U158" i="1" s="1"/>
  <c r="W158" i="1"/>
  <c r="X158" i="1" s="1"/>
  <c r="P159" i="1"/>
  <c r="Q159" i="1"/>
  <c r="R159" i="1"/>
  <c r="T159" i="1"/>
  <c r="U159" i="1" s="1"/>
  <c r="W159" i="1"/>
  <c r="X159" i="1" s="1"/>
  <c r="P160" i="1"/>
  <c r="Q160" i="1"/>
  <c r="R160" i="1"/>
  <c r="T160" i="1"/>
  <c r="U160" i="1" s="1"/>
  <c r="W160" i="1"/>
  <c r="X160" i="1" s="1"/>
  <c r="L161" i="1"/>
  <c r="P161" i="1"/>
  <c r="Q161" i="1"/>
  <c r="R161" i="1"/>
  <c r="T161" i="1"/>
  <c r="U161" i="1" s="1"/>
  <c r="W161" i="1"/>
  <c r="X161" i="1" s="1"/>
  <c r="P162" i="1"/>
  <c r="Q162" i="1"/>
  <c r="R162" i="1"/>
  <c r="T162" i="1"/>
  <c r="U162" i="1" s="1"/>
  <c r="W162" i="1"/>
  <c r="X162" i="1" s="1"/>
  <c r="P163" i="1"/>
  <c r="Q163" i="1"/>
  <c r="R163" i="1"/>
  <c r="T163" i="1"/>
  <c r="U163" i="1" s="1"/>
  <c r="W163" i="1"/>
  <c r="X163" i="1" s="1"/>
  <c r="L164" i="1"/>
  <c r="P164" i="1"/>
  <c r="Q164" i="1"/>
  <c r="R164" i="1"/>
  <c r="T164" i="1"/>
  <c r="U164" i="1" s="1"/>
  <c r="W164" i="1"/>
  <c r="X164" i="1" s="1"/>
  <c r="L165" i="1"/>
  <c r="P165" i="1"/>
  <c r="Q165" i="1"/>
  <c r="R165" i="1"/>
  <c r="T165" i="1"/>
  <c r="U165" i="1" s="1"/>
  <c r="W165" i="1"/>
  <c r="X165" i="1" s="1"/>
  <c r="L166" i="1"/>
  <c r="P166" i="1"/>
  <c r="Q166" i="1"/>
  <c r="R166" i="1"/>
  <c r="T166" i="1"/>
  <c r="U166" i="1" s="1"/>
  <c r="W166" i="1"/>
  <c r="X166" i="1" s="1"/>
  <c r="P167" i="1"/>
  <c r="Q167" i="1"/>
  <c r="R167" i="1"/>
  <c r="T167" i="1"/>
  <c r="U167" i="1" s="1"/>
  <c r="W167" i="1"/>
  <c r="X167" i="1" s="1"/>
  <c r="L168" i="1"/>
  <c r="P168" i="1"/>
  <c r="Q168" i="1"/>
  <c r="R168" i="1"/>
  <c r="T168" i="1"/>
  <c r="U168" i="1" s="1"/>
  <c r="W168" i="1"/>
  <c r="X168" i="1" s="1"/>
  <c r="P169" i="1"/>
  <c r="Q169" i="1"/>
  <c r="R169" i="1"/>
  <c r="T169" i="1"/>
  <c r="U169" i="1" s="1"/>
  <c r="W169" i="1"/>
  <c r="X169" i="1" s="1"/>
  <c r="P170" i="1"/>
  <c r="Q170" i="1"/>
  <c r="R170" i="1"/>
  <c r="T170" i="1"/>
  <c r="U170" i="1" s="1"/>
  <c r="W170" i="1"/>
  <c r="X170" i="1" s="1"/>
  <c r="L171" i="1"/>
  <c r="P171" i="1"/>
  <c r="Q171" i="1"/>
  <c r="R171" i="1"/>
  <c r="T171" i="1"/>
  <c r="U171" i="1" s="1"/>
  <c r="W171" i="1"/>
  <c r="X171" i="1" s="1"/>
  <c r="P172" i="1"/>
  <c r="Q172" i="1"/>
  <c r="R172" i="1"/>
  <c r="T172" i="1"/>
  <c r="U172" i="1" s="1"/>
  <c r="W172" i="1"/>
  <c r="X172" i="1" s="1"/>
  <c r="P173" i="1"/>
  <c r="Q173" i="1"/>
  <c r="R173" i="1"/>
  <c r="T173" i="1"/>
  <c r="U173" i="1" s="1"/>
  <c r="W173" i="1"/>
  <c r="X173" i="1" s="1"/>
  <c r="P174" i="1"/>
  <c r="Q174" i="1"/>
  <c r="R174" i="1"/>
  <c r="T174" i="1"/>
  <c r="U174" i="1" s="1"/>
  <c r="W174" i="1"/>
  <c r="X174" i="1" s="1"/>
  <c r="P175" i="1"/>
  <c r="Q175" i="1"/>
  <c r="R175" i="1"/>
  <c r="T175" i="1"/>
  <c r="U175" i="1" s="1"/>
  <c r="W175" i="1"/>
  <c r="X175" i="1" s="1"/>
  <c r="P176" i="1"/>
  <c r="Q176" i="1"/>
  <c r="R176" i="1"/>
  <c r="T176" i="1"/>
  <c r="U176" i="1" s="1"/>
  <c r="W176" i="1"/>
  <c r="X176" i="1" s="1"/>
  <c r="P177" i="1"/>
  <c r="Q177" i="1"/>
  <c r="R177" i="1"/>
  <c r="T177" i="1"/>
  <c r="U177" i="1" s="1"/>
  <c r="W177" i="1"/>
  <c r="X177" i="1" s="1"/>
  <c r="P178" i="1"/>
  <c r="Q178" i="1"/>
  <c r="R178" i="1"/>
  <c r="T178" i="1"/>
  <c r="U178" i="1" s="1"/>
  <c r="W178" i="1"/>
  <c r="X178" i="1" s="1"/>
  <c r="P179" i="1"/>
  <c r="Q179" i="1"/>
  <c r="R179" i="1"/>
  <c r="T179" i="1"/>
  <c r="U179" i="1" s="1"/>
  <c r="W179" i="1"/>
  <c r="X179" i="1" s="1"/>
  <c r="P180" i="1"/>
  <c r="Q180" i="1"/>
  <c r="R180" i="1"/>
  <c r="T180" i="1"/>
  <c r="U180" i="1" s="1"/>
  <c r="W180" i="1"/>
  <c r="X180" i="1" s="1"/>
  <c r="P181" i="1"/>
  <c r="Q181" i="1"/>
  <c r="R181" i="1"/>
  <c r="T181" i="1"/>
  <c r="U181" i="1" s="1"/>
  <c r="W181" i="1"/>
  <c r="X181" i="1" s="1"/>
  <c r="P182" i="1"/>
  <c r="Q182" i="1"/>
  <c r="R182" i="1"/>
  <c r="T182" i="1"/>
  <c r="U182" i="1" s="1"/>
  <c r="W182" i="1"/>
  <c r="X182" i="1" s="1"/>
  <c r="P183" i="1"/>
  <c r="Q183" i="1"/>
  <c r="R183" i="1"/>
  <c r="T183" i="1"/>
  <c r="U183" i="1" s="1"/>
  <c r="W183" i="1"/>
  <c r="X183" i="1" s="1"/>
  <c r="P184" i="1"/>
  <c r="Q184" i="1"/>
  <c r="R184" i="1"/>
  <c r="T184" i="1"/>
  <c r="U184" i="1" s="1"/>
  <c r="W184" i="1"/>
  <c r="X184" i="1" s="1"/>
  <c r="P185" i="1"/>
  <c r="Q185" i="1"/>
  <c r="R185" i="1"/>
  <c r="T185" i="1"/>
  <c r="U185" i="1" s="1"/>
  <c r="W185" i="1"/>
  <c r="X185" i="1" s="1"/>
  <c r="P186" i="1"/>
  <c r="Q186" i="1"/>
  <c r="R186" i="1"/>
  <c r="T186" i="1"/>
  <c r="U186" i="1" s="1"/>
  <c r="W186" i="1"/>
  <c r="X186" i="1" s="1"/>
  <c r="P187" i="1"/>
  <c r="Q187" i="1"/>
  <c r="R187" i="1"/>
  <c r="T187" i="1"/>
  <c r="U187" i="1" s="1"/>
  <c r="W187" i="1"/>
  <c r="X187" i="1" s="1"/>
  <c r="P188" i="1"/>
  <c r="Q188" i="1"/>
  <c r="R188" i="1"/>
  <c r="T188" i="1"/>
  <c r="U188" i="1" s="1"/>
  <c r="W188" i="1"/>
  <c r="X188" i="1" s="1"/>
  <c r="P189" i="1"/>
  <c r="Q189" i="1"/>
  <c r="R189" i="1"/>
  <c r="T189" i="1"/>
  <c r="U189" i="1" s="1"/>
  <c r="W189" i="1"/>
  <c r="X189" i="1" s="1"/>
  <c r="P190" i="1"/>
  <c r="Q190" i="1"/>
  <c r="R190" i="1"/>
  <c r="T190" i="1"/>
  <c r="U190" i="1" s="1"/>
  <c r="W190" i="1"/>
  <c r="X190" i="1" s="1"/>
  <c r="P191" i="1"/>
  <c r="Q191" i="1"/>
  <c r="R191" i="1"/>
  <c r="T191" i="1"/>
  <c r="U191" i="1" s="1"/>
  <c r="W191" i="1"/>
  <c r="X191" i="1" s="1"/>
  <c r="P192" i="1"/>
  <c r="Q192" i="1"/>
  <c r="R192" i="1"/>
  <c r="T192" i="1"/>
  <c r="U192" i="1" s="1"/>
  <c r="W192" i="1"/>
  <c r="X192" i="1" s="1"/>
  <c r="P193" i="1"/>
  <c r="Q193" i="1"/>
  <c r="R193" i="1"/>
  <c r="T193" i="1"/>
  <c r="U193" i="1" s="1"/>
  <c r="W193" i="1"/>
  <c r="X193" i="1" s="1"/>
  <c r="P194" i="1"/>
  <c r="Q194" i="1"/>
  <c r="R194" i="1"/>
  <c r="T194" i="1"/>
  <c r="U194" i="1" s="1"/>
  <c r="W194" i="1"/>
  <c r="X194" i="1" s="1"/>
  <c r="P195" i="1"/>
  <c r="Q195" i="1"/>
  <c r="R195" i="1"/>
  <c r="T195" i="1"/>
  <c r="U195" i="1" s="1"/>
  <c r="W195" i="1"/>
  <c r="X195" i="1" s="1"/>
  <c r="P196" i="1"/>
  <c r="Q196" i="1"/>
  <c r="R196" i="1"/>
  <c r="T196" i="1"/>
  <c r="U196" i="1" s="1"/>
  <c r="W196" i="1"/>
  <c r="X196" i="1" s="1"/>
  <c r="P197" i="1"/>
  <c r="Q197" i="1"/>
  <c r="R197" i="1"/>
  <c r="T197" i="1"/>
  <c r="U197" i="1" s="1"/>
  <c r="W197" i="1"/>
  <c r="X197" i="1" s="1"/>
  <c r="P198" i="1"/>
  <c r="Q198" i="1"/>
  <c r="R198" i="1"/>
  <c r="T198" i="1"/>
  <c r="U198" i="1" s="1"/>
  <c r="W198" i="1"/>
  <c r="X198" i="1" s="1"/>
  <c r="P199" i="1"/>
  <c r="Q199" i="1"/>
  <c r="R199" i="1"/>
  <c r="T199" i="1"/>
  <c r="U199" i="1" s="1"/>
  <c r="W199" i="1"/>
  <c r="X199" i="1" s="1"/>
  <c r="P200" i="1"/>
  <c r="Q200" i="1"/>
  <c r="R200" i="1"/>
  <c r="T200" i="1"/>
  <c r="U200" i="1" s="1"/>
  <c r="W200" i="1"/>
  <c r="X200" i="1" s="1"/>
  <c r="P201" i="1"/>
  <c r="Q201" i="1"/>
  <c r="R201" i="1"/>
  <c r="T201" i="1"/>
  <c r="U201" i="1" s="1"/>
  <c r="W201" i="1"/>
  <c r="X201" i="1" s="1"/>
  <c r="P202" i="1"/>
  <c r="Q202" i="1"/>
  <c r="R202" i="1"/>
  <c r="T202" i="1"/>
  <c r="U202" i="1" s="1"/>
  <c r="W202" i="1"/>
  <c r="X202" i="1" s="1"/>
  <c r="P203" i="1"/>
  <c r="Q203" i="1"/>
  <c r="R203" i="1"/>
  <c r="T203" i="1"/>
  <c r="U203" i="1" s="1"/>
  <c r="W203" i="1"/>
  <c r="X203" i="1" s="1"/>
  <c r="P204" i="1"/>
  <c r="Q204" i="1"/>
  <c r="R204" i="1"/>
  <c r="T204" i="1"/>
  <c r="U204" i="1" s="1"/>
  <c r="W204" i="1"/>
  <c r="X204" i="1" s="1"/>
  <c r="P205" i="1"/>
  <c r="Q205" i="1"/>
  <c r="R205" i="1"/>
  <c r="T205" i="1"/>
  <c r="U205" i="1" s="1"/>
  <c r="W205" i="1"/>
  <c r="X205" i="1" s="1"/>
  <c r="P206" i="1"/>
  <c r="Q206" i="1"/>
  <c r="R206" i="1"/>
  <c r="T206" i="1"/>
  <c r="U206" i="1" s="1"/>
  <c r="W206" i="1"/>
  <c r="X206" i="1" s="1"/>
  <c r="P207" i="1"/>
  <c r="Q207" i="1"/>
  <c r="R207" i="1"/>
  <c r="T207" i="1"/>
  <c r="U207" i="1" s="1"/>
  <c r="W207" i="1"/>
  <c r="X207" i="1" s="1"/>
  <c r="P208" i="1"/>
  <c r="Q208" i="1"/>
  <c r="R208" i="1"/>
  <c r="T208" i="1"/>
  <c r="U208" i="1" s="1"/>
  <c r="W208" i="1"/>
  <c r="X208" i="1" s="1"/>
  <c r="P209" i="1"/>
  <c r="Q209" i="1"/>
  <c r="R209" i="1"/>
  <c r="T209" i="1"/>
  <c r="U209" i="1" s="1"/>
  <c r="W209" i="1"/>
  <c r="X209" i="1" s="1"/>
  <c r="P210" i="1"/>
  <c r="Q210" i="1"/>
  <c r="R210" i="1"/>
  <c r="T210" i="1"/>
  <c r="U210" i="1" s="1"/>
  <c r="W210" i="1"/>
  <c r="X210" i="1" s="1"/>
  <c r="P211" i="1"/>
  <c r="Q211" i="1"/>
  <c r="R211" i="1"/>
  <c r="T211" i="1"/>
  <c r="U211" i="1" s="1"/>
  <c r="W211" i="1"/>
  <c r="X211" i="1" s="1"/>
  <c r="P212" i="1"/>
  <c r="Q212" i="1"/>
  <c r="R212" i="1"/>
  <c r="T212" i="1"/>
  <c r="U212" i="1" s="1"/>
  <c r="W212" i="1"/>
  <c r="X212" i="1" s="1"/>
  <c r="P213" i="1"/>
  <c r="Q213" i="1"/>
  <c r="R213" i="1"/>
  <c r="T213" i="1"/>
  <c r="U213" i="1" s="1"/>
  <c r="W213" i="1"/>
  <c r="X213" i="1" s="1"/>
  <c r="P214" i="1"/>
  <c r="Q214" i="1"/>
  <c r="R214" i="1"/>
  <c r="T214" i="1"/>
  <c r="U214" i="1" s="1"/>
  <c r="W214" i="1"/>
  <c r="X214" i="1" s="1"/>
  <c r="P215" i="1"/>
  <c r="Q215" i="1"/>
  <c r="R215" i="1"/>
  <c r="T215" i="1"/>
  <c r="U215" i="1" s="1"/>
  <c r="W215" i="1"/>
  <c r="X215" i="1" s="1"/>
  <c r="P216" i="1"/>
  <c r="Q216" i="1"/>
  <c r="R216" i="1"/>
  <c r="T216" i="1"/>
  <c r="U216" i="1" s="1"/>
  <c r="W216" i="1"/>
  <c r="X216" i="1" s="1"/>
  <c r="P217" i="1"/>
  <c r="Q217" i="1"/>
  <c r="R217" i="1"/>
  <c r="T217" i="1"/>
  <c r="U217" i="1" s="1"/>
  <c r="W217" i="1"/>
  <c r="X217" i="1" s="1"/>
  <c r="P218" i="1"/>
  <c r="Q218" i="1"/>
  <c r="R218" i="1"/>
  <c r="T218" i="1"/>
  <c r="U218" i="1" s="1"/>
  <c r="W218" i="1"/>
  <c r="X218" i="1" s="1"/>
  <c r="P219" i="1"/>
  <c r="Q219" i="1"/>
  <c r="R219" i="1"/>
  <c r="T219" i="1"/>
  <c r="U219" i="1" s="1"/>
  <c r="W219" i="1"/>
  <c r="X219" i="1" s="1"/>
  <c r="P220" i="1"/>
  <c r="Q220" i="1"/>
  <c r="R220" i="1"/>
  <c r="T220" i="1"/>
  <c r="U220" i="1" s="1"/>
  <c r="W220" i="1"/>
  <c r="X220" i="1" s="1"/>
  <c r="P221" i="1"/>
  <c r="Q221" i="1"/>
  <c r="R221" i="1"/>
  <c r="T221" i="1"/>
  <c r="U221" i="1" s="1"/>
  <c r="W221" i="1"/>
  <c r="X221" i="1" s="1"/>
  <c r="P222" i="1"/>
  <c r="Q222" i="1"/>
  <c r="R222" i="1"/>
  <c r="T222" i="1"/>
  <c r="U222" i="1" s="1"/>
  <c r="W222" i="1"/>
  <c r="X222" i="1" s="1"/>
  <c r="P223" i="1"/>
  <c r="Q223" i="1"/>
  <c r="R223" i="1"/>
  <c r="T223" i="1"/>
  <c r="U223" i="1" s="1"/>
  <c r="W223" i="1"/>
  <c r="X223" i="1" s="1"/>
  <c r="P224" i="1"/>
  <c r="Q224" i="1"/>
  <c r="R224" i="1"/>
  <c r="T224" i="1"/>
  <c r="U224" i="1" s="1"/>
  <c r="W224" i="1"/>
  <c r="X224" i="1" s="1"/>
  <c r="L225" i="1"/>
  <c r="P225" i="1"/>
  <c r="Q225" i="1"/>
  <c r="R225" i="1"/>
  <c r="T225" i="1"/>
  <c r="U225" i="1" s="1"/>
  <c r="W225" i="1"/>
  <c r="X225" i="1" s="1"/>
  <c r="P226" i="1"/>
  <c r="Q226" i="1"/>
  <c r="R226" i="1"/>
  <c r="T226" i="1"/>
  <c r="U226" i="1" s="1"/>
  <c r="W226" i="1"/>
  <c r="X226" i="1" s="1"/>
  <c r="P227" i="1"/>
  <c r="Q227" i="1"/>
  <c r="R227" i="1"/>
  <c r="T227" i="1"/>
  <c r="U227" i="1" s="1"/>
  <c r="W227" i="1"/>
  <c r="X227" i="1" s="1"/>
  <c r="P228" i="1"/>
  <c r="Q228" i="1"/>
  <c r="R228" i="1"/>
  <c r="T228" i="1"/>
  <c r="U228" i="1" s="1"/>
  <c r="W228" i="1"/>
  <c r="X228" i="1" s="1"/>
  <c r="P229" i="1"/>
  <c r="Q229" i="1"/>
  <c r="R229" i="1"/>
  <c r="T229" i="1"/>
  <c r="U229" i="1" s="1"/>
  <c r="W229" i="1"/>
  <c r="X229" i="1" s="1"/>
  <c r="L230" i="1"/>
  <c r="P230" i="1"/>
  <c r="Q230" i="1"/>
  <c r="R230" i="1"/>
  <c r="T230" i="1"/>
  <c r="U230" i="1" s="1"/>
  <c r="W230" i="1"/>
  <c r="X230" i="1" s="1"/>
  <c r="L231" i="1"/>
  <c r="P231" i="1"/>
  <c r="Q231" i="1"/>
  <c r="R231" i="1"/>
  <c r="T231" i="1"/>
  <c r="U231" i="1" s="1"/>
  <c r="W231" i="1"/>
  <c r="X231" i="1" s="1"/>
  <c r="P232" i="1"/>
  <c r="Q232" i="1"/>
  <c r="R232" i="1"/>
  <c r="T232" i="1"/>
  <c r="U232" i="1" s="1"/>
  <c r="W232" i="1"/>
  <c r="X232" i="1" s="1"/>
  <c r="P233" i="1"/>
  <c r="Q233" i="1"/>
  <c r="R233" i="1"/>
  <c r="T233" i="1"/>
  <c r="U233" i="1" s="1"/>
  <c r="W233" i="1"/>
  <c r="X233" i="1" s="1"/>
  <c r="P234" i="1"/>
  <c r="Q234" i="1"/>
  <c r="R234" i="1"/>
  <c r="T234" i="1"/>
  <c r="U234" i="1" s="1"/>
  <c r="W234" i="1"/>
  <c r="X234" i="1" s="1"/>
  <c r="P235" i="1"/>
  <c r="Q235" i="1"/>
  <c r="R235" i="1"/>
  <c r="T235" i="1"/>
  <c r="U235" i="1" s="1"/>
  <c r="W235" i="1"/>
  <c r="X235" i="1" s="1"/>
  <c r="L236" i="1"/>
  <c r="P236" i="1"/>
  <c r="Q236" i="1"/>
  <c r="R236" i="1"/>
  <c r="T236" i="1"/>
  <c r="U236" i="1" s="1"/>
  <c r="W236" i="1"/>
  <c r="X236" i="1" s="1"/>
  <c r="L237" i="1"/>
  <c r="P237" i="1"/>
  <c r="Q237" i="1"/>
  <c r="R237" i="1"/>
  <c r="T237" i="1"/>
  <c r="U237" i="1" s="1"/>
  <c r="W237" i="1"/>
  <c r="X237" i="1" s="1"/>
  <c r="L238" i="1"/>
  <c r="P238" i="1"/>
  <c r="Q238" i="1"/>
  <c r="R238" i="1"/>
  <c r="T238" i="1"/>
  <c r="U238" i="1" s="1"/>
  <c r="W238" i="1"/>
  <c r="X238" i="1" s="1"/>
  <c r="L239" i="1"/>
  <c r="P239" i="1"/>
  <c r="Q239" i="1"/>
  <c r="R239" i="1"/>
  <c r="T239" i="1"/>
  <c r="U239" i="1" s="1"/>
  <c r="W239" i="1"/>
  <c r="X239" i="1" s="1"/>
  <c r="P240" i="1"/>
  <c r="Q240" i="1"/>
  <c r="R240" i="1"/>
  <c r="T240" i="1"/>
  <c r="U240" i="1" s="1"/>
  <c r="W240" i="1"/>
  <c r="X240" i="1" s="1"/>
  <c r="L241" i="1"/>
  <c r="P241" i="1"/>
  <c r="Q241" i="1"/>
  <c r="R241" i="1"/>
  <c r="T241" i="1"/>
  <c r="U241" i="1" s="1"/>
  <c r="W241" i="1"/>
  <c r="X241" i="1" s="1"/>
  <c r="P242" i="1"/>
  <c r="Q242" i="1"/>
  <c r="R242" i="1"/>
  <c r="T242" i="1"/>
  <c r="U242" i="1" s="1"/>
  <c r="W242" i="1"/>
  <c r="X242" i="1" s="1"/>
  <c r="L243" i="1"/>
  <c r="P243" i="1"/>
  <c r="Q243" i="1"/>
  <c r="R243" i="1"/>
  <c r="T243" i="1"/>
  <c r="U243" i="1" s="1"/>
  <c r="W243" i="1"/>
  <c r="X243" i="1" s="1"/>
  <c r="L244" i="1"/>
  <c r="P244" i="1"/>
  <c r="Q244" i="1"/>
  <c r="R244" i="1"/>
  <c r="T244" i="1"/>
  <c r="U244" i="1" s="1"/>
  <c r="W244" i="1"/>
  <c r="X244" i="1" s="1"/>
  <c r="P245" i="1"/>
  <c r="Q245" i="1"/>
  <c r="R245" i="1"/>
  <c r="T245" i="1"/>
  <c r="U245" i="1" s="1"/>
  <c r="W245" i="1"/>
  <c r="X245" i="1" s="1"/>
  <c r="L246" i="1"/>
  <c r="P246" i="1"/>
  <c r="Q246" i="1"/>
  <c r="R246" i="1"/>
  <c r="T246" i="1"/>
  <c r="U246" i="1" s="1"/>
  <c r="W246" i="1"/>
  <c r="X246" i="1" s="1"/>
  <c r="P247" i="1"/>
  <c r="Q247" i="1"/>
  <c r="R247" i="1"/>
  <c r="T247" i="1"/>
  <c r="U247" i="1" s="1"/>
  <c r="W247" i="1"/>
  <c r="X247" i="1" s="1"/>
  <c r="L248" i="1"/>
  <c r="P248" i="1"/>
  <c r="Q248" i="1"/>
  <c r="R248" i="1"/>
  <c r="T248" i="1"/>
  <c r="U248" i="1" s="1"/>
  <c r="W248" i="1"/>
  <c r="X248" i="1" s="1"/>
  <c r="P249" i="1"/>
  <c r="Q249" i="1"/>
  <c r="R249" i="1"/>
  <c r="T249" i="1"/>
  <c r="U249" i="1" s="1"/>
  <c r="W249" i="1"/>
  <c r="X249" i="1" s="1"/>
  <c r="P250" i="1"/>
  <c r="Q250" i="1"/>
  <c r="R250" i="1"/>
  <c r="T250" i="1"/>
  <c r="U250" i="1" s="1"/>
  <c r="W250" i="1"/>
  <c r="X250" i="1" s="1"/>
  <c r="P251" i="1"/>
  <c r="Q251" i="1"/>
  <c r="R251" i="1"/>
  <c r="T251" i="1"/>
  <c r="U251" i="1" s="1"/>
  <c r="W251" i="1"/>
  <c r="X251" i="1" s="1"/>
  <c r="P252" i="1"/>
  <c r="Q252" i="1"/>
  <c r="R252" i="1"/>
  <c r="T252" i="1"/>
  <c r="U252" i="1" s="1"/>
  <c r="W252" i="1"/>
  <c r="X252" i="1" s="1"/>
  <c r="L253" i="1"/>
  <c r="P253" i="1"/>
  <c r="Q253" i="1"/>
  <c r="R253" i="1"/>
  <c r="T253" i="1"/>
  <c r="U253" i="1" s="1"/>
  <c r="W253" i="1"/>
  <c r="X253" i="1" s="1"/>
  <c r="P254" i="1"/>
  <c r="Q254" i="1"/>
  <c r="R254" i="1"/>
  <c r="T254" i="1"/>
  <c r="U254" i="1" s="1"/>
  <c r="W254" i="1"/>
  <c r="X254" i="1" s="1"/>
  <c r="L255" i="1"/>
  <c r="P255" i="1"/>
  <c r="Q255" i="1"/>
  <c r="R255" i="1"/>
  <c r="T255" i="1"/>
  <c r="U255" i="1" s="1"/>
  <c r="W255" i="1"/>
  <c r="X255" i="1" s="1"/>
  <c r="P256" i="1"/>
  <c r="Q256" i="1"/>
  <c r="R256" i="1"/>
  <c r="T256" i="1"/>
  <c r="U256" i="1" s="1"/>
  <c r="W256" i="1"/>
  <c r="X256" i="1" s="1"/>
  <c r="P257" i="1"/>
  <c r="Q257" i="1"/>
  <c r="R257" i="1"/>
  <c r="T257" i="1"/>
  <c r="U257" i="1" s="1"/>
  <c r="W257" i="1"/>
  <c r="X257" i="1" s="1"/>
  <c r="P258" i="1"/>
  <c r="Q258" i="1"/>
  <c r="R258" i="1"/>
  <c r="T258" i="1"/>
  <c r="U258" i="1" s="1"/>
  <c r="W258" i="1"/>
  <c r="X258" i="1" s="1"/>
  <c r="L259" i="1"/>
  <c r="P259" i="1"/>
  <c r="Q259" i="1"/>
  <c r="R259" i="1"/>
  <c r="T259" i="1"/>
  <c r="U259" i="1" s="1"/>
  <c r="W259" i="1"/>
  <c r="X259" i="1" s="1"/>
  <c r="L260" i="1"/>
  <c r="P260" i="1"/>
  <c r="Q260" i="1"/>
  <c r="R260" i="1"/>
  <c r="T260" i="1"/>
  <c r="U260" i="1" s="1"/>
  <c r="W260" i="1"/>
  <c r="X260" i="1" s="1"/>
  <c r="P261" i="1"/>
  <c r="Q261" i="1"/>
  <c r="R261" i="1"/>
  <c r="T261" i="1"/>
  <c r="U261" i="1" s="1"/>
  <c r="W261" i="1"/>
  <c r="X261" i="1" s="1"/>
  <c r="P262" i="1"/>
  <c r="Q262" i="1"/>
  <c r="R262" i="1"/>
  <c r="T262" i="1"/>
  <c r="U262" i="1" s="1"/>
  <c r="W262" i="1"/>
  <c r="X262" i="1" s="1"/>
  <c r="L263" i="1"/>
  <c r="P263" i="1"/>
  <c r="Q263" i="1"/>
  <c r="R263" i="1"/>
  <c r="T263" i="1"/>
  <c r="U263" i="1" s="1"/>
  <c r="W263" i="1"/>
  <c r="X263" i="1" s="1"/>
  <c r="L264" i="1"/>
  <c r="P264" i="1"/>
  <c r="Q264" i="1"/>
  <c r="R264" i="1"/>
  <c r="T264" i="1"/>
  <c r="U264" i="1" s="1"/>
  <c r="W264" i="1"/>
  <c r="X264" i="1" s="1"/>
  <c r="P265" i="1"/>
  <c r="Q265" i="1"/>
  <c r="R265" i="1"/>
  <c r="T265" i="1"/>
  <c r="U265" i="1" s="1"/>
  <c r="W265" i="1"/>
  <c r="X265" i="1" s="1"/>
  <c r="P266" i="1"/>
  <c r="Q266" i="1"/>
  <c r="R266" i="1"/>
  <c r="T266" i="1"/>
  <c r="U266" i="1" s="1"/>
  <c r="W266" i="1"/>
  <c r="X266" i="1" s="1"/>
  <c r="P267" i="1"/>
  <c r="Q267" i="1"/>
  <c r="R267" i="1"/>
  <c r="T267" i="1"/>
  <c r="U267" i="1" s="1"/>
  <c r="W267" i="1"/>
  <c r="X267" i="1" s="1"/>
  <c r="L268" i="1"/>
  <c r="P268" i="1"/>
  <c r="Q268" i="1"/>
  <c r="R268" i="1"/>
  <c r="T268" i="1"/>
  <c r="U268" i="1" s="1"/>
  <c r="W268" i="1"/>
  <c r="X268" i="1" s="1"/>
  <c r="L269" i="1"/>
  <c r="P269" i="1"/>
  <c r="Q269" i="1"/>
  <c r="R269" i="1"/>
  <c r="T269" i="1"/>
  <c r="U269" i="1" s="1"/>
  <c r="W269" i="1"/>
  <c r="X269" i="1" s="1"/>
  <c r="L270" i="1"/>
  <c r="P270" i="1"/>
  <c r="Q270" i="1"/>
  <c r="R270" i="1"/>
  <c r="T270" i="1"/>
  <c r="U270" i="1" s="1"/>
  <c r="W270" i="1"/>
  <c r="X270" i="1" s="1"/>
  <c r="L271" i="1"/>
  <c r="P271" i="1"/>
  <c r="Q271" i="1"/>
  <c r="R271" i="1"/>
  <c r="T271" i="1"/>
  <c r="U271" i="1" s="1"/>
  <c r="W271" i="1"/>
  <c r="X271" i="1" s="1"/>
  <c r="L272" i="1"/>
  <c r="P272" i="1"/>
  <c r="Q272" i="1"/>
  <c r="R272" i="1"/>
  <c r="T272" i="1"/>
  <c r="U272" i="1" s="1"/>
  <c r="W272" i="1"/>
  <c r="X272" i="1" s="1"/>
  <c r="P273" i="1"/>
  <c r="Q273" i="1"/>
  <c r="R273" i="1"/>
  <c r="T273" i="1"/>
  <c r="U273" i="1" s="1"/>
  <c r="W273" i="1"/>
  <c r="X273" i="1" s="1"/>
  <c r="L274" i="1"/>
  <c r="P274" i="1"/>
  <c r="Q274" i="1"/>
  <c r="R274" i="1"/>
  <c r="T274" i="1"/>
  <c r="U274" i="1" s="1"/>
  <c r="W274" i="1"/>
  <c r="X274" i="1" s="1"/>
  <c r="L275" i="1"/>
  <c r="P275" i="1"/>
  <c r="Q275" i="1"/>
  <c r="R275" i="1"/>
  <c r="T275" i="1"/>
  <c r="U275" i="1" s="1"/>
  <c r="W275" i="1"/>
  <c r="X275" i="1" s="1"/>
  <c r="L276" i="1"/>
  <c r="P276" i="1"/>
  <c r="Q276" i="1"/>
  <c r="R276" i="1"/>
  <c r="T276" i="1"/>
  <c r="U276" i="1" s="1"/>
  <c r="W276" i="1"/>
  <c r="X276" i="1" s="1"/>
  <c r="P277" i="1"/>
  <c r="Q277" i="1"/>
  <c r="R277" i="1"/>
  <c r="T277" i="1"/>
  <c r="U277" i="1" s="1"/>
  <c r="W277" i="1"/>
  <c r="X277" i="1" s="1"/>
  <c r="P278" i="1"/>
  <c r="Q278" i="1"/>
  <c r="R278" i="1"/>
  <c r="T278" i="1"/>
  <c r="U278" i="1" s="1"/>
  <c r="W278" i="1"/>
  <c r="X278" i="1" s="1"/>
  <c r="P279" i="1"/>
  <c r="Q279" i="1"/>
  <c r="R279" i="1"/>
  <c r="T279" i="1"/>
  <c r="U279" i="1" s="1"/>
  <c r="W279" i="1"/>
  <c r="X279" i="1" s="1"/>
  <c r="P280" i="1"/>
  <c r="Q280" i="1"/>
  <c r="R280" i="1"/>
  <c r="T280" i="1"/>
  <c r="U280" i="1" s="1"/>
  <c r="W280" i="1"/>
  <c r="X280" i="1" s="1"/>
  <c r="P281" i="1"/>
  <c r="Q281" i="1"/>
  <c r="R281" i="1"/>
  <c r="T281" i="1"/>
  <c r="U281" i="1" s="1"/>
  <c r="W281" i="1"/>
  <c r="X281" i="1" s="1"/>
  <c r="P282" i="1"/>
  <c r="Q282" i="1"/>
  <c r="R282" i="1"/>
  <c r="T282" i="1"/>
  <c r="U282" i="1" s="1"/>
  <c r="W282" i="1"/>
  <c r="X282" i="1" s="1"/>
  <c r="P283" i="1"/>
  <c r="Q283" i="1"/>
  <c r="R283" i="1"/>
  <c r="T283" i="1"/>
  <c r="U283" i="1" s="1"/>
  <c r="W283" i="1"/>
  <c r="X283" i="1" s="1"/>
  <c r="P284" i="1"/>
  <c r="Q284" i="1"/>
  <c r="R284" i="1"/>
  <c r="T284" i="1"/>
  <c r="U284" i="1" s="1"/>
  <c r="W284" i="1"/>
  <c r="X284" i="1" s="1"/>
  <c r="P285" i="1"/>
  <c r="Q285" i="1"/>
  <c r="R285" i="1"/>
  <c r="T285" i="1"/>
  <c r="U285" i="1" s="1"/>
  <c r="W285" i="1"/>
  <c r="X285" i="1" s="1"/>
  <c r="P286" i="1"/>
  <c r="Q286" i="1"/>
  <c r="R286" i="1"/>
  <c r="T286" i="1"/>
  <c r="U286" i="1" s="1"/>
  <c r="W286" i="1"/>
  <c r="X286" i="1" s="1"/>
  <c r="P287" i="1"/>
  <c r="Q287" i="1"/>
  <c r="R287" i="1"/>
  <c r="T287" i="1"/>
  <c r="U287" i="1" s="1"/>
  <c r="W287" i="1"/>
  <c r="X287" i="1" s="1"/>
  <c r="P288" i="1"/>
  <c r="Q288" i="1"/>
  <c r="R288" i="1"/>
  <c r="T288" i="1"/>
  <c r="U288" i="1" s="1"/>
  <c r="W288" i="1"/>
  <c r="X288" i="1" s="1"/>
  <c r="P289" i="1"/>
  <c r="Q289" i="1"/>
  <c r="R289" i="1"/>
  <c r="T289" i="1"/>
  <c r="U289" i="1" s="1"/>
  <c r="W289" i="1"/>
  <c r="X289" i="1" s="1"/>
  <c r="P290" i="1"/>
  <c r="Q290" i="1"/>
  <c r="R290" i="1"/>
  <c r="T290" i="1"/>
  <c r="U290" i="1" s="1"/>
  <c r="W290" i="1"/>
  <c r="X290" i="1" s="1"/>
  <c r="P291" i="1"/>
  <c r="Q291" i="1"/>
  <c r="R291" i="1"/>
  <c r="T291" i="1"/>
  <c r="U291" i="1" s="1"/>
  <c r="W291" i="1"/>
  <c r="X291" i="1" s="1"/>
  <c r="P292" i="1"/>
  <c r="Q292" i="1"/>
  <c r="R292" i="1"/>
  <c r="T292" i="1"/>
  <c r="U292" i="1" s="1"/>
  <c r="W292" i="1"/>
  <c r="X292" i="1" s="1"/>
  <c r="P293" i="1"/>
  <c r="Q293" i="1"/>
  <c r="R293" i="1"/>
  <c r="T293" i="1"/>
  <c r="U293" i="1" s="1"/>
  <c r="W293" i="1"/>
  <c r="X293" i="1" s="1"/>
  <c r="P294" i="1"/>
  <c r="Q294" i="1"/>
  <c r="R294" i="1"/>
  <c r="T294" i="1"/>
  <c r="U294" i="1" s="1"/>
  <c r="W294" i="1"/>
  <c r="X294" i="1" s="1"/>
  <c r="P295" i="1"/>
  <c r="Q295" i="1"/>
  <c r="R295" i="1"/>
  <c r="T295" i="1"/>
  <c r="U295" i="1" s="1"/>
  <c r="W295" i="1"/>
  <c r="X295" i="1" s="1"/>
  <c r="P296" i="1"/>
  <c r="Q296" i="1"/>
  <c r="R296" i="1"/>
  <c r="T296" i="1"/>
  <c r="U296" i="1" s="1"/>
  <c r="W296" i="1"/>
  <c r="X296" i="1" s="1"/>
  <c r="P297" i="1"/>
  <c r="Q297" i="1"/>
  <c r="R297" i="1"/>
  <c r="T297" i="1"/>
  <c r="U297" i="1" s="1"/>
  <c r="W297" i="1"/>
  <c r="X297" i="1" s="1"/>
  <c r="P298" i="1"/>
  <c r="Q298" i="1"/>
  <c r="R298" i="1"/>
  <c r="T298" i="1"/>
  <c r="U298" i="1" s="1"/>
  <c r="W298" i="1"/>
  <c r="X298" i="1" s="1"/>
  <c r="P299" i="1"/>
  <c r="Q299" i="1"/>
  <c r="R299" i="1"/>
  <c r="T299" i="1"/>
  <c r="U299" i="1" s="1"/>
  <c r="W299" i="1"/>
  <c r="X299" i="1" s="1"/>
  <c r="P300" i="1"/>
  <c r="Q300" i="1"/>
  <c r="R300" i="1"/>
  <c r="T300" i="1"/>
  <c r="U300" i="1" s="1"/>
  <c r="W300" i="1"/>
  <c r="X300" i="1" s="1"/>
  <c r="P301" i="1"/>
  <c r="Q301" i="1"/>
  <c r="R301" i="1"/>
  <c r="T301" i="1"/>
  <c r="U301" i="1" s="1"/>
  <c r="W301" i="1"/>
  <c r="X301" i="1" s="1"/>
  <c r="P302" i="1"/>
  <c r="Q302" i="1"/>
  <c r="R302" i="1"/>
  <c r="T302" i="1"/>
  <c r="U302" i="1" s="1"/>
  <c r="W302" i="1"/>
  <c r="X302" i="1" s="1"/>
  <c r="P303" i="1"/>
  <c r="Q303" i="1"/>
  <c r="R303" i="1"/>
  <c r="T303" i="1"/>
  <c r="U303" i="1" s="1"/>
  <c r="W303" i="1"/>
  <c r="X303" i="1" s="1"/>
  <c r="P304" i="1"/>
  <c r="Q304" i="1"/>
  <c r="R304" i="1"/>
  <c r="T304" i="1"/>
  <c r="U304" i="1" s="1"/>
  <c r="W304" i="1"/>
  <c r="X304" i="1" s="1"/>
  <c r="P305" i="1"/>
  <c r="Q305" i="1"/>
  <c r="R305" i="1"/>
  <c r="T305" i="1"/>
  <c r="U305" i="1" s="1"/>
  <c r="W305" i="1"/>
  <c r="X305" i="1" s="1"/>
  <c r="P306" i="1"/>
  <c r="Q306" i="1"/>
  <c r="R306" i="1"/>
  <c r="T306" i="1"/>
  <c r="U306" i="1" s="1"/>
  <c r="W306" i="1"/>
  <c r="X306" i="1" s="1"/>
  <c r="P307" i="1"/>
  <c r="Q307" i="1"/>
  <c r="R307" i="1"/>
  <c r="T307" i="1"/>
  <c r="U307" i="1" s="1"/>
  <c r="W307" i="1"/>
  <c r="X307" i="1" s="1"/>
  <c r="P308" i="1"/>
  <c r="Q308" i="1"/>
  <c r="R308" i="1"/>
  <c r="T308" i="1"/>
  <c r="U308" i="1" s="1"/>
  <c r="W308" i="1"/>
  <c r="X308" i="1" s="1"/>
  <c r="P309" i="1"/>
  <c r="Q309" i="1"/>
  <c r="R309" i="1"/>
  <c r="T309" i="1"/>
  <c r="U309" i="1" s="1"/>
  <c r="W309" i="1"/>
  <c r="X309" i="1" s="1"/>
  <c r="P310" i="1"/>
  <c r="Q310" i="1"/>
  <c r="R310" i="1"/>
  <c r="T310" i="1"/>
  <c r="U310" i="1" s="1"/>
  <c r="W310" i="1"/>
  <c r="X310" i="1" s="1"/>
  <c r="P311" i="1"/>
  <c r="Q311" i="1"/>
  <c r="R311" i="1"/>
  <c r="T311" i="1"/>
  <c r="U311" i="1" s="1"/>
  <c r="W311" i="1"/>
  <c r="X311" i="1" s="1"/>
  <c r="P312" i="1"/>
  <c r="Q312" i="1"/>
  <c r="R312" i="1"/>
  <c r="T312" i="1"/>
  <c r="U312" i="1" s="1"/>
  <c r="W312" i="1"/>
  <c r="X312" i="1" s="1"/>
  <c r="P313" i="1"/>
  <c r="Q313" i="1"/>
  <c r="R313" i="1"/>
  <c r="T313" i="1"/>
  <c r="U313" i="1" s="1"/>
  <c r="W313" i="1"/>
  <c r="X313" i="1" s="1"/>
  <c r="P314" i="1"/>
  <c r="Q314" i="1"/>
  <c r="R314" i="1"/>
  <c r="T314" i="1"/>
  <c r="U314" i="1" s="1"/>
  <c r="W314" i="1"/>
  <c r="X314" i="1" s="1"/>
  <c r="P315" i="1"/>
  <c r="Q315" i="1"/>
  <c r="R315" i="1"/>
  <c r="T315" i="1"/>
  <c r="U315" i="1" s="1"/>
  <c r="W315" i="1"/>
  <c r="X315" i="1" s="1"/>
  <c r="P316" i="1"/>
  <c r="Q316" i="1"/>
  <c r="R316" i="1"/>
  <c r="T316" i="1"/>
  <c r="U316" i="1" s="1"/>
  <c r="W316" i="1"/>
  <c r="X316" i="1" s="1"/>
  <c r="P317" i="1"/>
  <c r="Q317" i="1"/>
  <c r="R317" i="1"/>
  <c r="T317" i="1"/>
  <c r="U317" i="1" s="1"/>
  <c r="W317" i="1"/>
  <c r="X317" i="1" s="1"/>
  <c r="P318" i="1"/>
  <c r="Q318" i="1"/>
  <c r="R318" i="1"/>
  <c r="T318" i="1"/>
  <c r="U318" i="1" s="1"/>
  <c r="W318" i="1"/>
  <c r="X318" i="1" s="1"/>
  <c r="P319" i="1"/>
  <c r="Q319" i="1"/>
  <c r="R319" i="1"/>
  <c r="T319" i="1"/>
  <c r="U319" i="1" s="1"/>
  <c r="W319" i="1"/>
  <c r="X319" i="1" s="1"/>
  <c r="P320" i="1"/>
  <c r="Q320" i="1"/>
  <c r="R320" i="1"/>
  <c r="T320" i="1"/>
  <c r="U320" i="1" s="1"/>
  <c r="W320" i="1"/>
  <c r="X320" i="1" s="1"/>
  <c r="P321" i="1"/>
  <c r="Q321" i="1"/>
  <c r="R321" i="1"/>
  <c r="T321" i="1"/>
  <c r="U321" i="1" s="1"/>
  <c r="W321" i="1"/>
  <c r="X321" i="1" s="1"/>
  <c r="P322" i="1"/>
  <c r="Q322" i="1"/>
  <c r="R322" i="1"/>
  <c r="T322" i="1"/>
  <c r="U322" i="1" s="1"/>
  <c r="W322" i="1"/>
  <c r="X322" i="1" s="1"/>
  <c r="P323" i="1"/>
  <c r="Q323" i="1"/>
  <c r="R323" i="1"/>
  <c r="T323" i="1"/>
  <c r="U323" i="1" s="1"/>
  <c r="W323" i="1"/>
  <c r="X323" i="1" s="1"/>
  <c r="P324" i="1"/>
  <c r="Q324" i="1"/>
  <c r="R324" i="1"/>
  <c r="T324" i="1"/>
  <c r="U324" i="1" s="1"/>
  <c r="W324" i="1"/>
  <c r="X324" i="1" s="1"/>
  <c r="P325" i="1"/>
  <c r="Q325" i="1"/>
  <c r="R325" i="1"/>
  <c r="T325" i="1"/>
  <c r="U325" i="1" s="1"/>
  <c r="W325" i="1"/>
  <c r="X325" i="1" s="1"/>
  <c r="P326" i="1"/>
  <c r="Q326" i="1"/>
  <c r="R326" i="1"/>
  <c r="T326" i="1"/>
  <c r="U326" i="1" s="1"/>
  <c r="W326" i="1"/>
  <c r="X326" i="1" s="1"/>
  <c r="P327" i="1"/>
  <c r="Q327" i="1"/>
  <c r="R327" i="1"/>
  <c r="T327" i="1"/>
  <c r="U327" i="1" s="1"/>
  <c r="W327" i="1"/>
  <c r="X327" i="1" s="1"/>
  <c r="P328" i="1"/>
  <c r="Q328" i="1"/>
  <c r="R328" i="1"/>
  <c r="T328" i="1"/>
  <c r="U328" i="1" s="1"/>
  <c r="W328" i="1"/>
  <c r="X328" i="1" s="1"/>
  <c r="P329" i="1"/>
  <c r="Q329" i="1"/>
  <c r="R329" i="1"/>
  <c r="T329" i="1"/>
  <c r="U329" i="1" s="1"/>
  <c r="W329" i="1"/>
  <c r="X329" i="1" s="1"/>
  <c r="P330" i="1"/>
  <c r="Q330" i="1"/>
  <c r="R330" i="1"/>
  <c r="T330" i="1"/>
  <c r="U330" i="1" s="1"/>
  <c r="W330" i="1"/>
  <c r="X330" i="1" s="1"/>
  <c r="P331" i="1"/>
  <c r="Q331" i="1"/>
  <c r="R331" i="1"/>
  <c r="T331" i="1"/>
  <c r="U331" i="1" s="1"/>
  <c r="W331" i="1"/>
  <c r="X331" i="1" s="1"/>
  <c r="P332" i="1"/>
  <c r="Q332" i="1"/>
  <c r="R332" i="1"/>
  <c r="T332" i="1"/>
  <c r="U332" i="1" s="1"/>
  <c r="W332" i="1"/>
  <c r="X332" i="1" s="1"/>
  <c r="P333" i="1"/>
  <c r="Q333" i="1"/>
  <c r="R333" i="1"/>
  <c r="T333" i="1"/>
  <c r="U333" i="1" s="1"/>
  <c r="W333" i="1"/>
  <c r="X333" i="1" s="1"/>
  <c r="P334" i="1"/>
  <c r="Q334" i="1"/>
  <c r="R334" i="1"/>
  <c r="T334" i="1"/>
  <c r="U334" i="1" s="1"/>
  <c r="W334" i="1"/>
  <c r="X334" i="1" s="1"/>
  <c r="P335" i="1"/>
  <c r="Q335" i="1"/>
  <c r="R335" i="1"/>
  <c r="T335" i="1"/>
  <c r="U335" i="1" s="1"/>
  <c r="W335" i="1"/>
  <c r="X335" i="1" s="1"/>
  <c r="P336" i="1"/>
  <c r="Q336" i="1"/>
  <c r="R336" i="1"/>
  <c r="T336" i="1"/>
  <c r="U336" i="1" s="1"/>
  <c r="W336" i="1"/>
  <c r="X336" i="1" s="1"/>
  <c r="P337" i="1"/>
  <c r="Q337" i="1"/>
  <c r="R337" i="1"/>
  <c r="T337" i="1"/>
  <c r="U337" i="1" s="1"/>
  <c r="W337" i="1"/>
  <c r="X337" i="1" s="1"/>
  <c r="P338" i="1"/>
  <c r="Q338" i="1"/>
  <c r="R338" i="1"/>
  <c r="T338" i="1"/>
  <c r="U338" i="1" s="1"/>
  <c r="W338" i="1"/>
  <c r="X338" i="1" s="1"/>
  <c r="P339" i="1"/>
  <c r="Q339" i="1"/>
  <c r="R339" i="1"/>
  <c r="T339" i="1"/>
  <c r="U339" i="1" s="1"/>
  <c r="W339" i="1"/>
  <c r="X339" i="1" s="1"/>
  <c r="P340" i="1"/>
  <c r="Q340" i="1"/>
  <c r="R340" i="1"/>
  <c r="T340" i="1"/>
  <c r="U340" i="1" s="1"/>
  <c r="W340" i="1"/>
  <c r="X340" i="1" s="1"/>
  <c r="P341" i="1"/>
  <c r="Q341" i="1"/>
  <c r="R341" i="1"/>
  <c r="T341" i="1"/>
  <c r="U341" i="1" s="1"/>
  <c r="W341" i="1"/>
  <c r="X341" i="1" s="1"/>
  <c r="P342" i="1"/>
  <c r="Q342" i="1"/>
  <c r="R342" i="1"/>
  <c r="T342" i="1"/>
  <c r="U342" i="1" s="1"/>
  <c r="W342" i="1"/>
  <c r="X342" i="1" s="1"/>
  <c r="P343" i="1"/>
  <c r="Q343" i="1"/>
  <c r="R343" i="1"/>
  <c r="T343" i="1"/>
  <c r="U343" i="1" s="1"/>
  <c r="W343" i="1"/>
  <c r="X343" i="1" s="1"/>
  <c r="P344" i="1"/>
  <c r="Q344" i="1"/>
  <c r="R344" i="1"/>
  <c r="T344" i="1"/>
  <c r="U344" i="1" s="1"/>
  <c r="W344" i="1"/>
  <c r="X344" i="1" s="1"/>
  <c r="P345" i="1"/>
  <c r="Q345" i="1"/>
  <c r="R345" i="1"/>
  <c r="T345" i="1"/>
  <c r="U345" i="1" s="1"/>
  <c r="W345" i="1"/>
  <c r="X345" i="1" s="1"/>
  <c r="P346" i="1"/>
  <c r="Q346" i="1"/>
  <c r="R346" i="1"/>
  <c r="T346" i="1"/>
  <c r="U346" i="1" s="1"/>
  <c r="W346" i="1"/>
  <c r="X346" i="1" s="1"/>
  <c r="P347" i="1"/>
  <c r="Q347" i="1"/>
  <c r="R347" i="1"/>
  <c r="T347" i="1"/>
  <c r="U347" i="1" s="1"/>
  <c r="W347" i="1"/>
  <c r="X347" i="1" s="1"/>
  <c r="P348" i="1"/>
  <c r="Q348" i="1"/>
  <c r="R348" i="1"/>
  <c r="T348" i="1"/>
  <c r="U348" i="1" s="1"/>
  <c r="W348" i="1"/>
  <c r="X348" i="1" s="1"/>
  <c r="P349" i="1"/>
  <c r="Q349" i="1"/>
  <c r="R349" i="1"/>
  <c r="T349" i="1"/>
  <c r="U349" i="1" s="1"/>
  <c r="W349" i="1"/>
  <c r="X349" i="1" s="1"/>
  <c r="P350" i="1"/>
  <c r="Q350" i="1"/>
  <c r="R350" i="1"/>
  <c r="T350" i="1"/>
  <c r="U350" i="1" s="1"/>
  <c r="W350" i="1"/>
  <c r="X350" i="1" s="1"/>
  <c r="P351" i="1"/>
  <c r="Q351" i="1"/>
  <c r="R351" i="1"/>
  <c r="T351" i="1"/>
  <c r="U351" i="1" s="1"/>
  <c r="W351" i="1"/>
  <c r="X351" i="1" s="1"/>
  <c r="P352" i="1"/>
  <c r="Q352" i="1"/>
  <c r="R352" i="1"/>
  <c r="T352" i="1"/>
  <c r="U352" i="1" s="1"/>
  <c r="W352" i="1"/>
  <c r="X352" i="1" s="1"/>
  <c r="P353" i="1"/>
  <c r="Q353" i="1"/>
  <c r="R353" i="1"/>
  <c r="T353" i="1"/>
  <c r="U353" i="1" s="1"/>
  <c r="W353" i="1"/>
  <c r="X353" i="1" s="1"/>
  <c r="P354" i="1"/>
  <c r="Q354" i="1"/>
  <c r="R354" i="1"/>
  <c r="T354" i="1"/>
  <c r="U354" i="1" s="1"/>
  <c r="W354" i="1"/>
  <c r="X354" i="1" s="1"/>
  <c r="P355" i="1"/>
  <c r="Q355" i="1"/>
  <c r="R355" i="1"/>
  <c r="T355" i="1"/>
  <c r="U355" i="1" s="1"/>
  <c r="W355" i="1"/>
  <c r="X355" i="1" s="1"/>
  <c r="P356" i="1"/>
  <c r="Q356" i="1"/>
  <c r="R356" i="1"/>
  <c r="T356" i="1"/>
  <c r="U356" i="1" s="1"/>
  <c r="W356" i="1"/>
  <c r="X356" i="1" s="1"/>
  <c r="P357" i="1"/>
  <c r="Q357" i="1"/>
  <c r="R357" i="1"/>
  <c r="T357" i="1"/>
  <c r="U357" i="1" s="1"/>
  <c r="W357" i="1"/>
  <c r="X357" i="1" s="1"/>
  <c r="P358" i="1"/>
  <c r="Q358" i="1"/>
  <c r="R358" i="1"/>
  <c r="T358" i="1"/>
  <c r="U358" i="1" s="1"/>
  <c r="W358" i="1"/>
  <c r="X358" i="1" s="1"/>
  <c r="P359" i="1"/>
  <c r="Q359" i="1"/>
  <c r="R359" i="1"/>
  <c r="T359" i="1"/>
  <c r="U359" i="1" s="1"/>
  <c r="W359" i="1"/>
  <c r="X359" i="1" s="1"/>
  <c r="P360" i="1"/>
  <c r="Q360" i="1"/>
  <c r="R360" i="1"/>
  <c r="T360" i="1"/>
  <c r="U360" i="1" s="1"/>
  <c r="W360" i="1"/>
  <c r="X360" i="1" s="1"/>
  <c r="P361" i="1"/>
  <c r="Q361" i="1"/>
  <c r="R361" i="1"/>
  <c r="T361" i="1"/>
  <c r="U361" i="1" s="1"/>
  <c r="W361" i="1"/>
  <c r="X361" i="1" s="1"/>
  <c r="P362" i="1"/>
  <c r="Q362" i="1"/>
  <c r="R362" i="1"/>
  <c r="T362" i="1"/>
  <c r="U362" i="1" s="1"/>
  <c r="W362" i="1"/>
  <c r="X362" i="1" s="1"/>
  <c r="P363" i="1"/>
  <c r="Q363" i="1"/>
  <c r="R363" i="1"/>
  <c r="T363" i="1"/>
  <c r="U363" i="1" s="1"/>
  <c r="W363" i="1"/>
  <c r="X363" i="1" s="1"/>
  <c r="P364" i="1"/>
  <c r="Q364" i="1"/>
  <c r="R364" i="1"/>
  <c r="T364" i="1"/>
  <c r="U364" i="1" s="1"/>
  <c r="W364" i="1"/>
  <c r="X364" i="1" s="1"/>
  <c r="P365" i="1"/>
  <c r="Q365" i="1"/>
  <c r="R365" i="1"/>
  <c r="T365" i="1"/>
  <c r="U365" i="1" s="1"/>
  <c r="W365" i="1"/>
  <c r="X365" i="1" s="1"/>
  <c r="P366" i="1"/>
  <c r="Q366" i="1"/>
  <c r="R366" i="1"/>
  <c r="T366" i="1"/>
  <c r="U366" i="1" s="1"/>
  <c r="W366" i="1"/>
  <c r="X366" i="1" s="1"/>
  <c r="P367" i="1"/>
  <c r="Q367" i="1"/>
  <c r="R367" i="1"/>
  <c r="T367" i="1"/>
  <c r="U367" i="1" s="1"/>
  <c r="W367" i="1"/>
  <c r="X367" i="1" s="1"/>
  <c r="P368" i="1"/>
  <c r="Q368" i="1"/>
  <c r="R368" i="1"/>
  <c r="T368" i="1"/>
  <c r="U368" i="1" s="1"/>
  <c r="W368" i="1"/>
  <c r="X368" i="1" s="1"/>
  <c r="P369" i="1"/>
  <c r="Q369" i="1"/>
  <c r="R369" i="1"/>
  <c r="T369" i="1"/>
  <c r="U369" i="1" s="1"/>
  <c r="W369" i="1"/>
  <c r="X369" i="1" s="1"/>
  <c r="P370" i="1"/>
  <c r="Q370" i="1"/>
  <c r="R370" i="1"/>
  <c r="T370" i="1"/>
  <c r="U370" i="1" s="1"/>
  <c r="W370" i="1"/>
  <c r="X370" i="1" s="1"/>
  <c r="P371" i="1"/>
  <c r="Q371" i="1"/>
  <c r="R371" i="1"/>
  <c r="T371" i="1"/>
  <c r="U371" i="1" s="1"/>
  <c r="W371" i="1"/>
  <c r="X371" i="1" s="1"/>
  <c r="P372" i="1"/>
  <c r="Q372" i="1"/>
  <c r="R372" i="1"/>
  <c r="T372" i="1"/>
  <c r="U372" i="1" s="1"/>
  <c r="W372" i="1"/>
  <c r="X372" i="1" s="1"/>
  <c r="P373" i="1"/>
  <c r="Q373" i="1"/>
  <c r="R373" i="1"/>
  <c r="T373" i="1"/>
  <c r="U373" i="1" s="1"/>
  <c r="W373" i="1"/>
  <c r="X373" i="1" s="1"/>
  <c r="P374" i="1"/>
  <c r="Q374" i="1"/>
  <c r="R374" i="1"/>
  <c r="T374" i="1"/>
  <c r="U374" i="1" s="1"/>
  <c r="W374" i="1"/>
  <c r="X374" i="1" s="1"/>
  <c r="P375" i="1"/>
  <c r="Q375" i="1"/>
  <c r="R375" i="1"/>
  <c r="T375" i="1"/>
  <c r="U375" i="1" s="1"/>
  <c r="W375" i="1"/>
  <c r="X375" i="1" s="1"/>
  <c r="P376" i="1"/>
  <c r="Q376" i="1"/>
  <c r="R376" i="1"/>
  <c r="T376" i="1"/>
  <c r="U376" i="1" s="1"/>
  <c r="W376" i="1"/>
  <c r="X376" i="1" s="1"/>
  <c r="P377" i="1"/>
  <c r="Q377" i="1"/>
  <c r="R377" i="1"/>
  <c r="T377" i="1"/>
  <c r="U377" i="1" s="1"/>
  <c r="W377" i="1"/>
  <c r="X377" i="1" s="1"/>
  <c r="P378" i="1"/>
  <c r="Q378" i="1"/>
  <c r="R378" i="1"/>
  <c r="T378" i="1"/>
  <c r="U378" i="1" s="1"/>
  <c r="W378" i="1"/>
  <c r="X378" i="1" s="1"/>
  <c r="L379" i="1"/>
  <c r="P379" i="1"/>
  <c r="Q379" i="1"/>
  <c r="R379" i="1"/>
  <c r="T379" i="1"/>
  <c r="U379" i="1" s="1"/>
  <c r="W379" i="1"/>
  <c r="X379" i="1" s="1"/>
  <c r="P380" i="1"/>
  <c r="Q380" i="1"/>
  <c r="R380" i="1"/>
  <c r="T380" i="1"/>
  <c r="U380" i="1" s="1"/>
  <c r="W380" i="1"/>
  <c r="X380" i="1" s="1"/>
  <c r="L381" i="1"/>
  <c r="P381" i="1"/>
  <c r="Q381" i="1"/>
  <c r="R381" i="1"/>
  <c r="T381" i="1"/>
  <c r="U381" i="1" s="1"/>
  <c r="W381" i="1"/>
  <c r="X381" i="1" s="1"/>
  <c r="L382" i="1"/>
  <c r="P382" i="1"/>
  <c r="Q382" i="1"/>
  <c r="R382" i="1"/>
  <c r="T382" i="1"/>
  <c r="U382" i="1" s="1"/>
  <c r="W382" i="1"/>
  <c r="X382" i="1" s="1"/>
  <c r="L383" i="1"/>
  <c r="P383" i="1"/>
  <c r="Q383" i="1"/>
  <c r="R383" i="1"/>
  <c r="T383" i="1"/>
  <c r="U383" i="1" s="1"/>
  <c r="W383" i="1"/>
  <c r="X383" i="1" s="1"/>
  <c r="L384" i="1"/>
  <c r="P384" i="1"/>
  <c r="Q384" i="1"/>
  <c r="R384" i="1"/>
  <c r="T384" i="1"/>
  <c r="U384" i="1" s="1"/>
  <c r="W384" i="1"/>
  <c r="X384" i="1" s="1"/>
  <c r="P385" i="1"/>
  <c r="Q385" i="1"/>
  <c r="R385" i="1"/>
  <c r="T385" i="1"/>
  <c r="U385" i="1" s="1"/>
  <c r="W385" i="1"/>
  <c r="X385" i="1" s="1"/>
  <c r="P386" i="1"/>
  <c r="Q386" i="1"/>
  <c r="R386" i="1"/>
  <c r="T386" i="1"/>
  <c r="U386" i="1" s="1"/>
  <c r="W386" i="1"/>
  <c r="X386" i="1" s="1"/>
  <c r="P387" i="1"/>
  <c r="Q387" i="1"/>
  <c r="R387" i="1"/>
  <c r="T387" i="1"/>
  <c r="U387" i="1" s="1"/>
  <c r="W387" i="1"/>
  <c r="X387" i="1" s="1"/>
  <c r="L388" i="1"/>
  <c r="P388" i="1"/>
  <c r="Q388" i="1"/>
  <c r="R388" i="1"/>
  <c r="T388" i="1"/>
  <c r="U388" i="1" s="1"/>
  <c r="W388" i="1"/>
  <c r="X388" i="1" s="1"/>
  <c r="L389" i="1"/>
  <c r="P389" i="1"/>
  <c r="Q389" i="1"/>
  <c r="R389" i="1"/>
  <c r="T389" i="1"/>
  <c r="U389" i="1" s="1"/>
  <c r="W389" i="1"/>
  <c r="X389" i="1" s="1"/>
  <c r="L390" i="1"/>
  <c r="P390" i="1"/>
  <c r="Q390" i="1"/>
  <c r="R390" i="1"/>
  <c r="T390" i="1"/>
  <c r="U390" i="1" s="1"/>
  <c r="W390" i="1"/>
  <c r="X390" i="1" s="1"/>
  <c r="P391" i="1"/>
  <c r="Q391" i="1"/>
  <c r="R391" i="1"/>
  <c r="T391" i="1"/>
  <c r="U391" i="1" s="1"/>
  <c r="W391" i="1"/>
  <c r="X391" i="1" s="1"/>
  <c r="L392" i="1"/>
  <c r="P392" i="1"/>
  <c r="Q392" i="1"/>
  <c r="R392" i="1"/>
  <c r="T392" i="1"/>
  <c r="U392" i="1" s="1"/>
  <c r="W392" i="1"/>
  <c r="X392" i="1" s="1"/>
  <c r="L393" i="1"/>
  <c r="P393" i="1"/>
  <c r="Q393" i="1"/>
  <c r="R393" i="1"/>
  <c r="T393" i="1"/>
  <c r="U393" i="1" s="1"/>
  <c r="W393" i="1"/>
  <c r="X393" i="1" s="1"/>
  <c r="L394" i="1"/>
  <c r="P394" i="1"/>
  <c r="Q394" i="1"/>
  <c r="R394" i="1"/>
  <c r="T394" i="1"/>
  <c r="U394" i="1" s="1"/>
  <c r="W394" i="1"/>
  <c r="X394" i="1" s="1"/>
  <c r="L395" i="1"/>
  <c r="P395" i="1"/>
  <c r="Q395" i="1"/>
  <c r="R395" i="1"/>
  <c r="T395" i="1"/>
  <c r="U395" i="1" s="1"/>
  <c r="W395" i="1"/>
  <c r="X395" i="1" s="1"/>
  <c r="P396" i="1"/>
  <c r="Q396" i="1"/>
  <c r="R396" i="1"/>
  <c r="T396" i="1"/>
  <c r="U396" i="1" s="1"/>
  <c r="W396" i="1"/>
  <c r="X396" i="1" s="1"/>
  <c r="L397" i="1"/>
  <c r="P397" i="1"/>
  <c r="Q397" i="1"/>
  <c r="R397" i="1"/>
  <c r="T397" i="1"/>
  <c r="U397" i="1" s="1"/>
  <c r="W397" i="1"/>
  <c r="X397" i="1" s="1"/>
  <c r="L398" i="1"/>
  <c r="P398" i="1"/>
  <c r="Q398" i="1"/>
  <c r="R398" i="1"/>
  <c r="T398" i="1"/>
  <c r="U398" i="1" s="1"/>
  <c r="W398" i="1"/>
  <c r="X398" i="1" s="1"/>
  <c r="L399" i="1"/>
  <c r="P399" i="1"/>
  <c r="Q399" i="1"/>
  <c r="R399" i="1"/>
  <c r="T399" i="1"/>
  <c r="U399" i="1" s="1"/>
  <c r="W399" i="1"/>
  <c r="X399" i="1" s="1"/>
  <c r="L400" i="1"/>
  <c r="P400" i="1"/>
  <c r="Q400" i="1"/>
  <c r="R400" i="1"/>
  <c r="T400" i="1"/>
  <c r="U400" i="1" s="1"/>
  <c r="W400" i="1"/>
  <c r="X400" i="1" s="1"/>
  <c r="P401" i="1"/>
  <c r="Q401" i="1"/>
  <c r="R401" i="1"/>
  <c r="T401" i="1"/>
  <c r="U401" i="1" s="1"/>
  <c r="W401" i="1"/>
  <c r="X401" i="1" s="1"/>
  <c r="P402" i="1"/>
  <c r="Q402" i="1"/>
  <c r="R402" i="1"/>
  <c r="T402" i="1"/>
  <c r="U402" i="1" s="1"/>
  <c r="W402" i="1"/>
  <c r="X402" i="1" s="1"/>
  <c r="L403" i="1"/>
  <c r="P403" i="1"/>
  <c r="Q403" i="1"/>
  <c r="R403" i="1"/>
  <c r="T403" i="1"/>
  <c r="U403" i="1" s="1"/>
  <c r="W403" i="1"/>
  <c r="X403" i="1" s="1"/>
  <c r="L404" i="1"/>
  <c r="P404" i="1"/>
  <c r="Q404" i="1"/>
  <c r="R404" i="1"/>
  <c r="T404" i="1"/>
  <c r="U404" i="1" s="1"/>
  <c r="W404" i="1"/>
  <c r="X404" i="1" s="1"/>
  <c r="P405" i="1"/>
  <c r="Q405" i="1"/>
  <c r="R405" i="1"/>
  <c r="T405" i="1"/>
  <c r="U405" i="1" s="1"/>
  <c r="W405" i="1"/>
  <c r="X405" i="1" s="1"/>
  <c r="P406" i="1"/>
  <c r="Q406" i="1"/>
  <c r="R406" i="1"/>
  <c r="T406" i="1"/>
  <c r="U406" i="1" s="1"/>
  <c r="W406" i="1"/>
  <c r="X406" i="1" s="1"/>
  <c r="P407" i="1"/>
  <c r="Q407" i="1"/>
  <c r="R407" i="1"/>
  <c r="T407" i="1"/>
  <c r="U407" i="1" s="1"/>
  <c r="W407" i="1"/>
  <c r="X407" i="1" s="1"/>
  <c r="P408" i="1"/>
  <c r="Q408" i="1"/>
  <c r="R408" i="1"/>
  <c r="T408" i="1"/>
  <c r="U408" i="1" s="1"/>
  <c r="W408" i="1"/>
  <c r="X408" i="1" s="1"/>
  <c r="P409" i="1"/>
  <c r="Q409" i="1"/>
  <c r="R409" i="1"/>
  <c r="T409" i="1"/>
  <c r="U409" i="1" s="1"/>
  <c r="W409" i="1"/>
  <c r="X409" i="1" s="1"/>
  <c r="P410" i="1"/>
  <c r="Q410" i="1"/>
  <c r="R410" i="1"/>
  <c r="T410" i="1"/>
  <c r="U410" i="1" s="1"/>
  <c r="W410" i="1"/>
  <c r="X410" i="1" s="1"/>
  <c r="P411" i="1"/>
  <c r="Q411" i="1"/>
  <c r="R411" i="1"/>
  <c r="T411" i="1"/>
  <c r="U411" i="1" s="1"/>
  <c r="W411" i="1"/>
  <c r="X411" i="1" s="1"/>
  <c r="P412" i="1"/>
  <c r="Q412" i="1"/>
  <c r="R412" i="1"/>
  <c r="T412" i="1"/>
  <c r="U412" i="1" s="1"/>
  <c r="W412" i="1"/>
  <c r="X412" i="1" s="1"/>
  <c r="P413" i="1"/>
  <c r="Q413" i="1"/>
  <c r="R413" i="1"/>
  <c r="T413" i="1"/>
  <c r="U413" i="1" s="1"/>
  <c r="W413" i="1"/>
  <c r="X413" i="1" s="1"/>
  <c r="P414" i="1"/>
  <c r="Q414" i="1"/>
  <c r="R414" i="1"/>
  <c r="T414" i="1"/>
  <c r="U414" i="1" s="1"/>
  <c r="W414" i="1"/>
  <c r="X414" i="1" s="1"/>
  <c r="P415" i="1"/>
  <c r="Q415" i="1"/>
  <c r="R415" i="1"/>
  <c r="T415" i="1"/>
  <c r="U415" i="1" s="1"/>
  <c r="W415" i="1"/>
  <c r="X415" i="1" s="1"/>
  <c r="P416" i="1"/>
  <c r="Q416" i="1"/>
  <c r="R416" i="1"/>
  <c r="T416" i="1"/>
  <c r="U416" i="1" s="1"/>
  <c r="W416" i="1"/>
  <c r="X416" i="1" s="1"/>
  <c r="P417" i="1"/>
  <c r="Q417" i="1"/>
  <c r="R417" i="1"/>
  <c r="T417" i="1"/>
  <c r="U417" i="1" s="1"/>
  <c r="W417" i="1"/>
  <c r="X417" i="1" s="1"/>
  <c r="P418" i="1"/>
  <c r="Q418" i="1"/>
  <c r="R418" i="1"/>
  <c r="T418" i="1"/>
  <c r="U418" i="1" s="1"/>
  <c r="W418" i="1"/>
  <c r="X418" i="1" s="1"/>
  <c r="P419" i="1"/>
  <c r="Q419" i="1"/>
  <c r="R419" i="1"/>
  <c r="T419" i="1"/>
  <c r="U419" i="1" s="1"/>
  <c r="W419" i="1"/>
  <c r="X419" i="1" s="1"/>
  <c r="P420" i="1"/>
  <c r="Q420" i="1"/>
  <c r="R420" i="1"/>
  <c r="T420" i="1"/>
  <c r="U420" i="1" s="1"/>
  <c r="W420" i="1"/>
  <c r="X420" i="1" s="1"/>
  <c r="P421" i="1"/>
  <c r="Q421" i="1"/>
  <c r="R421" i="1"/>
  <c r="T421" i="1"/>
  <c r="U421" i="1" s="1"/>
  <c r="W421" i="1"/>
  <c r="X421" i="1" s="1"/>
  <c r="P422" i="1"/>
  <c r="Q422" i="1"/>
  <c r="R422" i="1"/>
  <c r="T422" i="1"/>
  <c r="U422" i="1" s="1"/>
  <c r="W422" i="1"/>
  <c r="X422" i="1" s="1"/>
  <c r="P423" i="1"/>
  <c r="Q423" i="1"/>
  <c r="R423" i="1"/>
  <c r="T423" i="1"/>
  <c r="U423" i="1" s="1"/>
  <c r="W423" i="1"/>
  <c r="X423" i="1" s="1"/>
  <c r="P424" i="1"/>
  <c r="Q424" i="1"/>
  <c r="R424" i="1"/>
  <c r="T424" i="1"/>
  <c r="U424" i="1" s="1"/>
  <c r="W424" i="1"/>
  <c r="X424" i="1" s="1"/>
  <c r="P425" i="1"/>
  <c r="Q425" i="1"/>
  <c r="R425" i="1"/>
  <c r="T425" i="1"/>
  <c r="U425" i="1" s="1"/>
  <c r="W425" i="1"/>
  <c r="X425" i="1" s="1"/>
  <c r="P426" i="1"/>
  <c r="Q426" i="1"/>
  <c r="R426" i="1"/>
  <c r="T426" i="1"/>
  <c r="U426" i="1" s="1"/>
  <c r="W426" i="1"/>
  <c r="X426" i="1" s="1"/>
  <c r="P427" i="1"/>
  <c r="Q427" i="1"/>
  <c r="R427" i="1"/>
  <c r="T427" i="1"/>
  <c r="U427" i="1" s="1"/>
  <c r="W427" i="1"/>
  <c r="X427" i="1" s="1"/>
  <c r="P428" i="1"/>
  <c r="Q428" i="1"/>
  <c r="R428" i="1"/>
  <c r="T428" i="1"/>
  <c r="U428" i="1" s="1"/>
  <c r="W428" i="1"/>
  <c r="X428" i="1" s="1"/>
  <c r="P429" i="1"/>
  <c r="Q429" i="1"/>
  <c r="R429" i="1"/>
  <c r="T429" i="1"/>
  <c r="U429" i="1" s="1"/>
  <c r="W429" i="1"/>
  <c r="X429" i="1" s="1"/>
  <c r="P430" i="1"/>
  <c r="Q430" i="1"/>
  <c r="R430" i="1"/>
  <c r="T430" i="1"/>
  <c r="U430" i="1" s="1"/>
  <c r="W430" i="1"/>
  <c r="X430" i="1" s="1"/>
  <c r="P431" i="1"/>
  <c r="Q431" i="1"/>
  <c r="R431" i="1"/>
  <c r="T431" i="1"/>
  <c r="U431" i="1" s="1"/>
  <c r="W431" i="1"/>
  <c r="X431" i="1" s="1"/>
  <c r="P432" i="1"/>
  <c r="Q432" i="1"/>
  <c r="R432" i="1"/>
  <c r="T432" i="1"/>
  <c r="U432" i="1" s="1"/>
  <c r="W432" i="1"/>
  <c r="X432" i="1" s="1"/>
  <c r="P433" i="1"/>
  <c r="Q433" i="1"/>
  <c r="R433" i="1"/>
  <c r="T433" i="1"/>
  <c r="U433" i="1" s="1"/>
  <c r="W433" i="1"/>
  <c r="X433" i="1" s="1"/>
  <c r="P434" i="1"/>
  <c r="Q434" i="1"/>
  <c r="R434" i="1"/>
  <c r="T434" i="1"/>
  <c r="U434" i="1" s="1"/>
  <c r="W434" i="1"/>
  <c r="X434" i="1" s="1"/>
  <c r="P435" i="1"/>
  <c r="Q435" i="1"/>
  <c r="R435" i="1"/>
  <c r="T435" i="1"/>
  <c r="U435" i="1" s="1"/>
  <c r="W435" i="1"/>
  <c r="X435" i="1" s="1"/>
  <c r="P436" i="1"/>
  <c r="Q436" i="1"/>
  <c r="R436" i="1"/>
  <c r="T436" i="1"/>
  <c r="U436" i="1" s="1"/>
  <c r="W436" i="1"/>
  <c r="X436" i="1" s="1"/>
  <c r="P437" i="1"/>
  <c r="Q437" i="1"/>
  <c r="R437" i="1"/>
  <c r="T437" i="1"/>
  <c r="U437" i="1" s="1"/>
  <c r="W437" i="1"/>
  <c r="X437" i="1" s="1"/>
  <c r="P438" i="1"/>
  <c r="Q438" i="1"/>
  <c r="R438" i="1"/>
  <c r="T438" i="1"/>
  <c r="U438" i="1" s="1"/>
  <c r="W438" i="1"/>
  <c r="X438" i="1" s="1"/>
  <c r="P439" i="1"/>
  <c r="Q439" i="1"/>
  <c r="R439" i="1"/>
  <c r="T439" i="1"/>
  <c r="U439" i="1" s="1"/>
  <c r="W439" i="1"/>
  <c r="X439" i="1" s="1"/>
  <c r="P440" i="1"/>
  <c r="Q440" i="1"/>
  <c r="R440" i="1"/>
  <c r="T440" i="1"/>
  <c r="U440" i="1" s="1"/>
  <c r="W440" i="1"/>
  <c r="X440" i="1" s="1"/>
  <c r="P441" i="1"/>
  <c r="Q441" i="1"/>
  <c r="R441" i="1"/>
  <c r="T441" i="1"/>
  <c r="U441" i="1" s="1"/>
  <c r="W441" i="1"/>
  <c r="X441" i="1" s="1"/>
  <c r="P442" i="1"/>
  <c r="Q442" i="1"/>
  <c r="R442" i="1"/>
  <c r="T442" i="1"/>
  <c r="U442" i="1" s="1"/>
  <c r="W442" i="1"/>
  <c r="X442" i="1" s="1"/>
  <c r="P443" i="1"/>
  <c r="Q443" i="1"/>
  <c r="R443" i="1"/>
  <c r="T443" i="1"/>
  <c r="U443" i="1" s="1"/>
  <c r="W443" i="1"/>
  <c r="X443" i="1" s="1"/>
  <c r="P444" i="1"/>
  <c r="Q444" i="1"/>
  <c r="R444" i="1"/>
  <c r="T444" i="1"/>
  <c r="U444" i="1" s="1"/>
  <c r="W444" i="1"/>
  <c r="X444" i="1" s="1"/>
  <c r="P445" i="1"/>
  <c r="Q445" i="1"/>
  <c r="R445" i="1"/>
  <c r="T445" i="1"/>
  <c r="U445" i="1" s="1"/>
  <c r="W445" i="1"/>
  <c r="X445" i="1" s="1"/>
  <c r="P446" i="1"/>
  <c r="Q446" i="1"/>
  <c r="R446" i="1"/>
  <c r="T446" i="1"/>
  <c r="U446" i="1" s="1"/>
  <c r="W446" i="1"/>
  <c r="X446" i="1" s="1"/>
  <c r="P447" i="1"/>
  <c r="Q447" i="1"/>
  <c r="R447" i="1"/>
  <c r="T447" i="1"/>
  <c r="U447" i="1" s="1"/>
  <c r="W447" i="1"/>
  <c r="X447" i="1" s="1"/>
  <c r="P448" i="1"/>
  <c r="Q448" i="1"/>
  <c r="R448" i="1"/>
  <c r="T448" i="1"/>
  <c r="U448" i="1" s="1"/>
  <c r="W448" i="1"/>
  <c r="X448" i="1" s="1"/>
  <c r="P449" i="1"/>
  <c r="Q449" i="1"/>
  <c r="R449" i="1"/>
  <c r="T449" i="1"/>
  <c r="U449" i="1" s="1"/>
  <c r="W449" i="1"/>
  <c r="X449" i="1" s="1"/>
  <c r="P450" i="1"/>
  <c r="Q450" i="1"/>
  <c r="R450" i="1"/>
  <c r="T450" i="1"/>
  <c r="U450" i="1" s="1"/>
  <c r="W450" i="1"/>
  <c r="X450" i="1" s="1"/>
  <c r="L451" i="1"/>
  <c r="P451" i="1"/>
  <c r="Q451" i="1"/>
  <c r="R451" i="1"/>
  <c r="T451" i="1"/>
  <c r="U451" i="1" s="1"/>
  <c r="W451" i="1"/>
  <c r="X451" i="1" s="1"/>
  <c r="L452" i="1"/>
  <c r="P452" i="1"/>
  <c r="Q452" i="1"/>
  <c r="R452" i="1"/>
  <c r="T452" i="1"/>
  <c r="U452" i="1" s="1"/>
  <c r="W452" i="1"/>
  <c r="X452" i="1" s="1"/>
  <c r="L453" i="1"/>
  <c r="P453" i="1"/>
  <c r="Q453" i="1"/>
  <c r="R453" i="1"/>
  <c r="T453" i="1"/>
  <c r="U453" i="1" s="1"/>
  <c r="W453" i="1"/>
  <c r="X453" i="1" s="1"/>
  <c r="L454" i="1"/>
  <c r="P454" i="1"/>
  <c r="Q454" i="1"/>
  <c r="R454" i="1"/>
  <c r="T454" i="1"/>
  <c r="U454" i="1" s="1"/>
  <c r="W454" i="1"/>
  <c r="X454" i="1" s="1"/>
  <c r="P455" i="1"/>
  <c r="Q455" i="1"/>
  <c r="R455" i="1"/>
  <c r="T455" i="1"/>
  <c r="U455" i="1" s="1"/>
  <c r="W455" i="1"/>
  <c r="X455" i="1" s="1"/>
  <c r="L456" i="1"/>
  <c r="P456" i="1"/>
  <c r="Q456" i="1"/>
  <c r="R456" i="1"/>
  <c r="T456" i="1"/>
  <c r="U456" i="1" s="1"/>
  <c r="W456" i="1"/>
  <c r="X456" i="1" s="1"/>
  <c r="L457" i="1"/>
  <c r="P457" i="1"/>
  <c r="Q457" i="1"/>
  <c r="R457" i="1"/>
  <c r="T457" i="1"/>
  <c r="U457" i="1" s="1"/>
  <c r="W457" i="1"/>
  <c r="X457" i="1" s="1"/>
  <c r="P458" i="1"/>
  <c r="Q458" i="1"/>
  <c r="R458" i="1"/>
  <c r="T458" i="1"/>
  <c r="U458" i="1" s="1"/>
  <c r="W458" i="1"/>
  <c r="X458" i="1" s="1"/>
  <c r="P459" i="1"/>
  <c r="Q459" i="1"/>
  <c r="R459" i="1"/>
  <c r="T459" i="1"/>
  <c r="U459" i="1" s="1"/>
  <c r="W459" i="1"/>
  <c r="X459" i="1" s="1"/>
  <c r="P460" i="1"/>
  <c r="Q460" i="1"/>
  <c r="R460" i="1"/>
  <c r="T460" i="1"/>
  <c r="U460" i="1" s="1"/>
  <c r="W460" i="1"/>
  <c r="X460" i="1" s="1"/>
  <c r="P461" i="1"/>
  <c r="Q461" i="1"/>
  <c r="R461" i="1"/>
  <c r="T461" i="1"/>
  <c r="U461" i="1" s="1"/>
  <c r="W461" i="1"/>
  <c r="X461" i="1" s="1"/>
  <c r="P462" i="1"/>
  <c r="Q462" i="1"/>
  <c r="R462" i="1"/>
  <c r="T462" i="1"/>
  <c r="U462" i="1" s="1"/>
  <c r="W462" i="1"/>
  <c r="X462" i="1" s="1"/>
  <c r="P463" i="1"/>
  <c r="Q463" i="1"/>
  <c r="R463" i="1"/>
  <c r="T463" i="1"/>
  <c r="U463" i="1" s="1"/>
  <c r="W463" i="1"/>
  <c r="X463" i="1" s="1"/>
  <c r="P464" i="1"/>
  <c r="Q464" i="1"/>
  <c r="R464" i="1"/>
  <c r="T464" i="1"/>
  <c r="U464" i="1" s="1"/>
  <c r="W464" i="1"/>
  <c r="X464" i="1" s="1"/>
  <c r="P465" i="1"/>
  <c r="Q465" i="1"/>
  <c r="R465" i="1"/>
  <c r="T465" i="1"/>
  <c r="U465" i="1" s="1"/>
  <c r="W465" i="1"/>
  <c r="X465" i="1" s="1"/>
  <c r="P466" i="1"/>
  <c r="Q466" i="1"/>
  <c r="R466" i="1"/>
  <c r="T466" i="1"/>
  <c r="U466" i="1" s="1"/>
  <c r="W466" i="1"/>
  <c r="X466" i="1" s="1"/>
  <c r="P467" i="1"/>
  <c r="Q467" i="1"/>
  <c r="R467" i="1"/>
  <c r="T467" i="1"/>
  <c r="U467" i="1" s="1"/>
  <c r="W467" i="1"/>
  <c r="X467" i="1" s="1"/>
  <c r="L468" i="1"/>
  <c r="P468" i="1"/>
  <c r="Q468" i="1"/>
  <c r="R468" i="1"/>
  <c r="T468" i="1"/>
  <c r="U468" i="1" s="1"/>
  <c r="W468" i="1"/>
  <c r="X468" i="1" s="1"/>
  <c r="L469" i="1"/>
  <c r="P469" i="1"/>
  <c r="Q469" i="1"/>
  <c r="R469" i="1"/>
  <c r="T469" i="1"/>
  <c r="U469" i="1" s="1"/>
  <c r="W469" i="1"/>
  <c r="X469" i="1" s="1"/>
  <c r="P470" i="1"/>
  <c r="Q470" i="1"/>
  <c r="R470" i="1"/>
  <c r="T470" i="1"/>
  <c r="U470" i="1" s="1"/>
  <c r="W470" i="1"/>
  <c r="X470" i="1" s="1"/>
  <c r="P471" i="1"/>
  <c r="Q471" i="1"/>
  <c r="R471" i="1"/>
  <c r="T471" i="1"/>
  <c r="U471" i="1" s="1"/>
  <c r="W471" i="1"/>
  <c r="X471" i="1" s="1"/>
  <c r="P472" i="1"/>
  <c r="Q472" i="1"/>
  <c r="R472" i="1"/>
  <c r="T472" i="1"/>
  <c r="U472" i="1" s="1"/>
  <c r="W472" i="1"/>
  <c r="X472" i="1" s="1"/>
  <c r="P473" i="1"/>
  <c r="Q473" i="1"/>
  <c r="R473" i="1"/>
  <c r="T473" i="1"/>
  <c r="U473" i="1" s="1"/>
  <c r="W473" i="1"/>
  <c r="X473" i="1" s="1"/>
  <c r="P474" i="1"/>
  <c r="Q474" i="1"/>
  <c r="R474" i="1"/>
  <c r="T474" i="1"/>
  <c r="U474" i="1" s="1"/>
  <c r="W474" i="1"/>
  <c r="X474" i="1" s="1"/>
  <c r="P475" i="1"/>
  <c r="Q475" i="1"/>
  <c r="R475" i="1"/>
  <c r="T475" i="1"/>
  <c r="U475" i="1" s="1"/>
  <c r="W475" i="1"/>
  <c r="X475" i="1" s="1"/>
  <c r="P476" i="1"/>
  <c r="Q476" i="1"/>
  <c r="R476" i="1"/>
  <c r="T476" i="1"/>
  <c r="U476" i="1" s="1"/>
  <c r="W476" i="1"/>
  <c r="X476" i="1" s="1"/>
  <c r="P477" i="1"/>
  <c r="Q477" i="1"/>
  <c r="R477" i="1"/>
  <c r="T477" i="1"/>
  <c r="U477" i="1" s="1"/>
  <c r="W477" i="1"/>
  <c r="X477" i="1" s="1"/>
  <c r="P478" i="1"/>
  <c r="Q478" i="1"/>
  <c r="R478" i="1"/>
  <c r="T478" i="1"/>
  <c r="U478" i="1" s="1"/>
  <c r="W478" i="1"/>
  <c r="X478" i="1" s="1"/>
  <c r="P479" i="1"/>
  <c r="Q479" i="1"/>
  <c r="R479" i="1"/>
  <c r="T479" i="1"/>
  <c r="U479" i="1" s="1"/>
  <c r="W479" i="1"/>
  <c r="X479" i="1" s="1"/>
  <c r="P480" i="1"/>
  <c r="Q480" i="1"/>
  <c r="R480" i="1"/>
  <c r="T480" i="1"/>
  <c r="U480" i="1" s="1"/>
  <c r="W480" i="1"/>
  <c r="X480" i="1" s="1"/>
  <c r="P481" i="1"/>
  <c r="Q481" i="1"/>
  <c r="R481" i="1"/>
  <c r="T481" i="1"/>
  <c r="U481" i="1" s="1"/>
  <c r="W481" i="1"/>
  <c r="X481" i="1" s="1"/>
  <c r="P482" i="1"/>
  <c r="Q482" i="1"/>
  <c r="R482" i="1"/>
  <c r="T482" i="1"/>
  <c r="U482" i="1" s="1"/>
  <c r="W482" i="1"/>
  <c r="X482" i="1" s="1"/>
  <c r="P483" i="1"/>
  <c r="Q483" i="1"/>
  <c r="R483" i="1"/>
  <c r="T483" i="1"/>
  <c r="U483" i="1" s="1"/>
  <c r="W483" i="1"/>
  <c r="X483" i="1" s="1"/>
  <c r="P484" i="1"/>
  <c r="Q484" i="1"/>
  <c r="R484" i="1"/>
  <c r="T484" i="1"/>
  <c r="U484" i="1" s="1"/>
  <c r="W484" i="1"/>
  <c r="X484" i="1" s="1"/>
  <c r="P485" i="1"/>
  <c r="Q485" i="1"/>
  <c r="R485" i="1"/>
  <c r="T485" i="1"/>
  <c r="U485" i="1" s="1"/>
  <c r="W485" i="1"/>
  <c r="X485" i="1" s="1"/>
  <c r="P486" i="1"/>
  <c r="Q486" i="1"/>
  <c r="R486" i="1"/>
  <c r="T486" i="1"/>
  <c r="U486" i="1" s="1"/>
  <c r="W486" i="1"/>
  <c r="X486" i="1" s="1"/>
  <c r="P487" i="1"/>
  <c r="Q487" i="1"/>
  <c r="R487" i="1"/>
  <c r="T487" i="1"/>
  <c r="U487" i="1" s="1"/>
  <c r="W487" i="1"/>
  <c r="X487" i="1" s="1"/>
  <c r="P488" i="1"/>
  <c r="Q488" i="1"/>
  <c r="R488" i="1"/>
  <c r="T488" i="1"/>
  <c r="U488" i="1" s="1"/>
  <c r="W488" i="1"/>
  <c r="X488" i="1" s="1"/>
  <c r="P489" i="1"/>
  <c r="Q489" i="1"/>
  <c r="R489" i="1"/>
  <c r="T489" i="1"/>
  <c r="U489" i="1" s="1"/>
  <c r="W489" i="1"/>
  <c r="X489" i="1" s="1"/>
  <c r="P490" i="1"/>
  <c r="Q490" i="1"/>
  <c r="R490" i="1"/>
  <c r="T490" i="1"/>
  <c r="U490" i="1" s="1"/>
  <c r="W490" i="1"/>
  <c r="X490" i="1" s="1"/>
  <c r="P491" i="1"/>
  <c r="Q491" i="1"/>
  <c r="R491" i="1"/>
  <c r="T491" i="1"/>
  <c r="U491" i="1" s="1"/>
  <c r="W491" i="1"/>
  <c r="X491" i="1" s="1"/>
  <c r="P492" i="1"/>
  <c r="Q492" i="1"/>
  <c r="R492" i="1"/>
  <c r="T492" i="1"/>
  <c r="U492" i="1" s="1"/>
  <c r="W492" i="1"/>
  <c r="X492" i="1" s="1"/>
  <c r="P493" i="1"/>
  <c r="Q493" i="1"/>
  <c r="R493" i="1"/>
  <c r="T493" i="1"/>
  <c r="U493" i="1" s="1"/>
  <c r="W493" i="1"/>
  <c r="X493" i="1" s="1"/>
  <c r="P494" i="1"/>
  <c r="Q494" i="1"/>
  <c r="R494" i="1"/>
  <c r="T494" i="1"/>
  <c r="U494" i="1" s="1"/>
  <c r="W494" i="1"/>
  <c r="X494" i="1" s="1"/>
  <c r="P495" i="1"/>
  <c r="Q495" i="1"/>
  <c r="R495" i="1"/>
  <c r="T495" i="1"/>
  <c r="U495" i="1" s="1"/>
  <c r="W495" i="1"/>
  <c r="X495" i="1" s="1"/>
  <c r="P496" i="1"/>
  <c r="Q496" i="1"/>
  <c r="R496" i="1"/>
  <c r="T496" i="1"/>
  <c r="U496" i="1" s="1"/>
  <c r="W496" i="1"/>
  <c r="X496" i="1" s="1"/>
  <c r="P497" i="1"/>
  <c r="Q497" i="1"/>
  <c r="R497" i="1"/>
  <c r="T497" i="1"/>
  <c r="U497" i="1" s="1"/>
  <c r="W497" i="1"/>
  <c r="X497" i="1" s="1"/>
  <c r="P498" i="1"/>
  <c r="Q498" i="1"/>
  <c r="R498" i="1"/>
  <c r="T498" i="1"/>
  <c r="U498" i="1" s="1"/>
  <c r="W498" i="1"/>
  <c r="X498" i="1" s="1"/>
  <c r="P499" i="1"/>
  <c r="Q499" i="1"/>
  <c r="R499" i="1"/>
  <c r="T499" i="1"/>
  <c r="U499" i="1" s="1"/>
  <c r="W499" i="1"/>
  <c r="X499" i="1" s="1"/>
  <c r="P500" i="1"/>
  <c r="Q500" i="1"/>
  <c r="R500" i="1"/>
  <c r="T500" i="1"/>
  <c r="U500" i="1" s="1"/>
  <c r="W500" i="1"/>
  <c r="X500" i="1" s="1"/>
  <c r="P501" i="1"/>
  <c r="Q501" i="1"/>
  <c r="R501" i="1"/>
  <c r="T501" i="1"/>
  <c r="U501" i="1" s="1"/>
  <c r="W501" i="1"/>
  <c r="X501" i="1" s="1"/>
  <c r="P502" i="1"/>
  <c r="Q502" i="1"/>
  <c r="R502" i="1"/>
  <c r="T502" i="1"/>
  <c r="U502" i="1" s="1"/>
  <c r="W502" i="1"/>
  <c r="X502" i="1" s="1"/>
  <c r="P503" i="1"/>
  <c r="Q503" i="1"/>
  <c r="R503" i="1"/>
  <c r="T503" i="1"/>
  <c r="U503" i="1" s="1"/>
  <c r="W503" i="1"/>
  <c r="X503" i="1" s="1"/>
  <c r="P504" i="1"/>
  <c r="Q504" i="1"/>
  <c r="R504" i="1"/>
  <c r="T504" i="1"/>
  <c r="U504" i="1" s="1"/>
  <c r="W504" i="1"/>
  <c r="X504" i="1" s="1"/>
  <c r="P505" i="1"/>
  <c r="Q505" i="1"/>
  <c r="R505" i="1"/>
  <c r="T505" i="1"/>
  <c r="U505" i="1" s="1"/>
  <c r="W505" i="1"/>
  <c r="X505" i="1" s="1"/>
  <c r="P506" i="1"/>
  <c r="Q506" i="1"/>
  <c r="R506" i="1"/>
  <c r="T506" i="1"/>
  <c r="U506" i="1" s="1"/>
  <c r="W506" i="1"/>
  <c r="X506" i="1" s="1"/>
  <c r="P507" i="1"/>
  <c r="Q507" i="1"/>
  <c r="R507" i="1"/>
  <c r="T507" i="1"/>
  <c r="U507" i="1" s="1"/>
  <c r="W507" i="1"/>
  <c r="X507" i="1" s="1"/>
  <c r="P508" i="1"/>
  <c r="Q508" i="1"/>
  <c r="R508" i="1"/>
  <c r="T508" i="1"/>
  <c r="U508" i="1" s="1"/>
  <c r="W508" i="1"/>
  <c r="X508" i="1" s="1"/>
  <c r="P509" i="1"/>
  <c r="Q509" i="1"/>
  <c r="R509" i="1"/>
  <c r="T509" i="1"/>
  <c r="U509" i="1" s="1"/>
  <c r="W509" i="1"/>
  <c r="X509" i="1" s="1"/>
  <c r="P510" i="1"/>
  <c r="Q510" i="1"/>
  <c r="R510" i="1"/>
  <c r="T510" i="1"/>
  <c r="U510" i="1" s="1"/>
  <c r="W510" i="1"/>
  <c r="X510" i="1" s="1"/>
  <c r="P511" i="1"/>
  <c r="Q511" i="1"/>
  <c r="R511" i="1"/>
  <c r="T511" i="1"/>
  <c r="U511" i="1" s="1"/>
  <c r="W511" i="1"/>
  <c r="X511" i="1" s="1"/>
  <c r="L512" i="1"/>
  <c r="P512" i="1"/>
  <c r="Q512" i="1"/>
  <c r="R512" i="1"/>
  <c r="T512" i="1"/>
  <c r="U512" i="1" s="1"/>
  <c r="W512" i="1"/>
  <c r="X512" i="1" s="1"/>
  <c r="P513" i="1"/>
  <c r="Q513" i="1"/>
  <c r="R513" i="1"/>
  <c r="T513" i="1"/>
  <c r="U513" i="1" s="1"/>
  <c r="W513" i="1"/>
  <c r="X513" i="1" s="1"/>
  <c r="P514" i="1"/>
  <c r="Q514" i="1"/>
  <c r="R514" i="1"/>
  <c r="T514" i="1"/>
  <c r="U514" i="1" s="1"/>
  <c r="W514" i="1"/>
  <c r="X514" i="1" s="1"/>
  <c r="P515" i="1"/>
  <c r="Q515" i="1"/>
  <c r="R515" i="1"/>
  <c r="T515" i="1"/>
  <c r="U515" i="1" s="1"/>
  <c r="W515" i="1"/>
  <c r="X515" i="1" s="1"/>
  <c r="P516" i="1"/>
  <c r="Q516" i="1"/>
  <c r="R516" i="1"/>
  <c r="T516" i="1"/>
  <c r="U516" i="1" s="1"/>
  <c r="W516" i="1"/>
  <c r="X516" i="1" s="1"/>
  <c r="P517" i="1"/>
  <c r="Q517" i="1"/>
  <c r="R517" i="1"/>
  <c r="T517" i="1"/>
  <c r="U517" i="1" s="1"/>
  <c r="W517" i="1"/>
  <c r="X517" i="1" s="1"/>
  <c r="P518" i="1"/>
  <c r="Q518" i="1"/>
  <c r="R518" i="1"/>
  <c r="T518" i="1"/>
  <c r="U518" i="1" s="1"/>
  <c r="W518" i="1"/>
  <c r="X518" i="1" s="1"/>
  <c r="P519" i="1"/>
  <c r="Q519" i="1"/>
  <c r="R519" i="1"/>
  <c r="T519" i="1"/>
  <c r="U519" i="1" s="1"/>
  <c r="W519" i="1"/>
  <c r="X519" i="1" s="1"/>
  <c r="P521" i="1"/>
  <c r="Q521" i="1"/>
  <c r="R521" i="1"/>
  <c r="T521" i="1"/>
  <c r="U521" i="1" s="1"/>
  <c r="W521" i="1"/>
  <c r="X521" i="1" s="1"/>
  <c r="L522" i="1"/>
  <c r="P522" i="1"/>
  <c r="Q522" i="1"/>
  <c r="R522" i="1"/>
  <c r="T522" i="1"/>
  <c r="U522" i="1" s="1"/>
  <c r="W522" i="1"/>
  <c r="X522" i="1" s="1"/>
  <c r="P523" i="1"/>
  <c r="Q523" i="1"/>
  <c r="R523" i="1"/>
  <c r="T523" i="1"/>
  <c r="U523" i="1" s="1"/>
  <c r="W523" i="1"/>
  <c r="X523" i="1" s="1"/>
  <c r="P524" i="1"/>
  <c r="Q524" i="1"/>
  <c r="R524" i="1"/>
  <c r="T524" i="1"/>
  <c r="U524" i="1" s="1"/>
  <c r="W524" i="1"/>
  <c r="X524" i="1" s="1"/>
  <c r="L525" i="1"/>
  <c r="P525" i="1"/>
  <c r="Q525" i="1"/>
  <c r="R525" i="1"/>
  <c r="T525" i="1"/>
  <c r="U525" i="1" s="1"/>
  <c r="W525" i="1"/>
  <c r="X525" i="1" s="1"/>
  <c r="L526" i="1"/>
  <c r="P526" i="1"/>
  <c r="Q526" i="1"/>
  <c r="R526" i="1"/>
  <c r="T526" i="1"/>
  <c r="U526" i="1" s="1"/>
  <c r="W526" i="1"/>
  <c r="X526" i="1" s="1"/>
  <c r="L527" i="1"/>
  <c r="P527" i="1"/>
  <c r="Q527" i="1"/>
  <c r="R527" i="1"/>
  <c r="T527" i="1"/>
  <c r="U527" i="1" s="1"/>
  <c r="W527" i="1"/>
  <c r="X527" i="1" s="1"/>
  <c r="P528" i="1"/>
  <c r="Q528" i="1"/>
  <c r="R528" i="1"/>
  <c r="T528" i="1"/>
  <c r="U528" i="1" s="1"/>
  <c r="W528" i="1"/>
  <c r="X528" i="1" s="1"/>
  <c r="P529" i="1"/>
  <c r="Q529" i="1"/>
  <c r="R529" i="1"/>
  <c r="T529" i="1"/>
  <c r="U529" i="1" s="1"/>
  <c r="W529" i="1"/>
  <c r="X529" i="1" s="1"/>
  <c r="L530" i="1"/>
  <c r="P530" i="1"/>
  <c r="Q530" i="1"/>
  <c r="R530" i="1"/>
  <c r="T530" i="1"/>
  <c r="U530" i="1" s="1"/>
  <c r="W530" i="1"/>
  <c r="X530" i="1" s="1"/>
  <c r="P531" i="1"/>
  <c r="Q531" i="1"/>
  <c r="R531" i="1"/>
  <c r="T531" i="1"/>
  <c r="U531" i="1" s="1"/>
  <c r="W531" i="1"/>
  <c r="X531" i="1" s="1"/>
  <c r="P532" i="1"/>
  <c r="Q532" i="1"/>
  <c r="R532" i="1"/>
  <c r="T532" i="1"/>
  <c r="U532" i="1" s="1"/>
  <c r="W532" i="1"/>
  <c r="X532" i="1" s="1"/>
  <c r="P533" i="1"/>
  <c r="Q533" i="1"/>
  <c r="R533" i="1"/>
  <c r="T533" i="1"/>
  <c r="U533" i="1" s="1"/>
  <c r="W533" i="1"/>
  <c r="X533" i="1" s="1"/>
  <c r="P534" i="1"/>
  <c r="Q534" i="1"/>
  <c r="R534" i="1"/>
  <c r="T534" i="1"/>
  <c r="U534" i="1" s="1"/>
  <c r="W534" i="1"/>
  <c r="X534" i="1" s="1"/>
  <c r="P535" i="1"/>
  <c r="Q535" i="1"/>
  <c r="R535" i="1"/>
  <c r="T535" i="1"/>
  <c r="U535" i="1" s="1"/>
  <c r="W535" i="1"/>
  <c r="X535" i="1" s="1"/>
  <c r="L536" i="1"/>
  <c r="P536" i="1"/>
  <c r="Q536" i="1"/>
  <c r="R536" i="1"/>
  <c r="T536" i="1"/>
  <c r="U536" i="1" s="1"/>
  <c r="W536" i="1"/>
  <c r="X536" i="1" s="1"/>
  <c r="L537" i="1"/>
  <c r="P537" i="1"/>
  <c r="Q537" i="1"/>
  <c r="R537" i="1"/>
  <c r="T537" i="1"/>
  <c r="U537" i="1" s="1"/>
  <c r="W537" i="1"/>
  <c r="X537" i="1" s="1"/>
  <c r="L538" i="1"/>
  <c r="P538" i="1"/>
  <c r="Q538" i="1"/>
  <c r="R538" i="1"/>
  <c r="T538" i="1"/>
  <c r="U538" i="1" s="1"/>
  <c r="W538" i="1"/>
  <c r="X538" i="1" s="1"/>
  <c r="L539" i="1"/>
  <c r="P539" i="1"/>
  <c r="Q539" i="1"/>
  <c r="R539" i="1"/>
  <c r="T539" i="1"/>
  <c r="U539" i="1" s="1"/>
  <c r="W539" i="1"/>
  <c r="X539" i="1" s="1"/>
  <c r="P540" i="1"/>
  <c r="Q540" i="1"/>
  <c r="R540" i="1"/>
  <c r="T540" i="1"/>
  <c r="U540" i="1" s="1"/>
  <c r="W540" i="1"/>
  <c r="X540" i="1" s="1"/>
  <c r="P541" i="1"/>
  <c r="Q541" i="1"/>
  <c r="R541" i="1"/>
  <c r="T541" i="1"/>
  <c r="U541" i="1" s="1"/>
  <c r="W541" i="1"/>
  <c r="X541" i="1" s="1"/>
  <c r="P542" i="1"/>
  <c r="Q542" i="1"/>
  <c r="R542" i="1"/>
  <c r="T542" i="1"/>
  <c r="U542" i="1" s="1"/>
  <c r="W542" i="1"/>
  <c r="X542" i="1" s="1"/>
  <c r="P543" i="1"/>
  <c r="Q543" i="1"/>
  <c r="R543" i="1"/>
  <c r="T543" i="1"/>
  <c r="U543" i="1" s="1"/>
  <c r="W543" i="1"/>
  <c r="X543" i="1" s="1"/>
  <c r="P544" i="1"/>
  <c r="Q544" i="1"/>
  <c r="R544" i="1"/>
  <c r="T544" i="1"/>
  <c r="U544" i="1" s="1"/>
  <c r="W544" i="1"/>
  <c r="X544" i="1" s="1"/>
  <c r="P545" i="1"/>
  <c r="Q545" i="1"/>
  <c r="R545" i="1"/>
  <c r="T545" i="1"/>
  <c r="U545" i="1" s="1"/>
  <c r="W545" i="1"/>
  <c r="X545" i="1" s="1"/>
  <c r="P546" i="1"/>
  <c r="Q546" i="1"/>
  <c r="R546" i="1"/>
  <c r="T546" i="1"/>
  <c r="U546" i="1" s="1"/>
  <c r="W546" i="1"/>
  <c r="X546" i="1" s="1"/>
  <c r="P547" i="1"/>
  <c r="Q547" i="1"/>
  <c r="R547" i="1"/>
  <c r="T547" i="1"/>
  <c r="U547" i="1" s="1"/>
  <c r="W547" i="1"/>
  <c r="X547" i="1" s="1"/>
  <c r="P548" i="1"/>
  <c r="Q548" i="1"/>
  <c r="R548" i="1"/>
  <c r="T548" i="1"/>
  <c r="U548" i="1" s="1"/>
  <c r="W548" i="1"/>
  <c r="X548" i="1" s="1"/>
  <c r="P549" i="1"/>
  <c r="Q549" i="1"/>
  <c r="R549" i="1"/>
  <c r="T549" i="1"/>
  <c r="U549" i="1" s="1"/>
  <c r="W549" i="1"/>
  <c r="X549" i="1" s="1"/>
  <c r="P550" i="1"/>
  <c r="Q550" i="1"/>
  <c r="R550" i="1"/>
  <c r="T550" i="1"/>
  <c r="U550" i="1" s="1"/>
  <c r="W550" i="1"/>
  <c r="X550" i="1" s="1"/>
  <c r="P551" i="1"/>
  <c r="Q551" i="1"/>
  <c r="R551" i="1"/>
  <c r="T551" i="1"/>
  <c r="U551" i="1" s="1"/>
  <c r="W551" i="1"/>
  <c r="X551" i="1" s="1"/>
  <c r="P552" i="1"/>
  <c r="Q552" i="1"/>
  <c r="R552" i="1"/>
  <c r="T552" i="1"/>
  <c r="U552" i="1" s="1"/>
  <c r="W552" i="1"/>
  <c r="X552" i="1" s="1"/>
  <c r="P553" i="1"/>
  <c r="Q553" i="1"/>
  <c r="R553" i="1"/>
  <c r="T553" i="1"/>
  <c r="U553" i="1" s="1"/>
  <c r="W553" i="1"/>
  <c r="X553" i="1" s="1"/>
  <c r="P554" i="1"/>
  <c r="Q554" i="1"/>
  <c r="R554" i="1"/>
  <c r="T554" i="1"/>
  <c r="U554" i="1" s="1"/>
  <c r="W554" i="1"/>
  <c r="X554" i="1" s="1"/>
  <c r="P555" i="1"/>
  <c r="Q555" i="1"/>
  <c r="R555" i="1"/>
  <c r="T555" i="1"/>
  <c r="U555" i="1" s="1"/>
  <c r="W555" i="1"/>
  <c r="X555" i="1" s="1"/>
  <c r="P556" i="1"/>
  <c r="Q556" i="1"/>
  <c r="R556" i="1"/>
  <c r="T556" i="1"/>
  <c r="U556" i="1" s="1"/>
  <c r="W556" i="1"/>
  <c r="X556" i="1" s="1"/>
  <c r="P557" i="1"/>
  <c r="Q557" i="1"/>
  <c r="R557" i="1"/>
  <c r="T557" i="1"/>
  <c r="U557" i="1" s="1"/>
  <c r="W557" i="1"/>
  <c r="X557" i="1" s="1"/>
  <c r="P558" i="1"/>
  <c r="Q558" i="1"/>
  <c r="R558" i="1"/>
  <c r="T558" i="1"/>
  <c r="U558" i="1" s="1"/>
  <c r="W558" i="1"/>
  <c r="X558" i="1" s="1"/>
  <c r="P559" i="1"/>
  <c r="Q559" i="1"/>
  <c r="R559" i="1"/>
  <c r="T559" i="1"/>
  <c r="U559" i="1" s="1"/>
  <c r="W559" i="1"/>
  <c r="X559" i="1" s="1"/>
  <c r="P560" i="1"/>
  <c r="Q560" i="1"/>
  <c r="R560" i="1"/>
  <c r="T560" i="1"/>
  <c r="U560" i="1" s="1"/>
  <c r="W560" i="1"/>
  <c r="X560" i="1" s="1"/>
  <c r="P561" i="1"/>
  <c r="Q561" i="1"/>
  <c r="R561" i="1"/>
  <c r="T561" i="1"/>
  <c r="U561" i="1" s="1"/>
  <c r="W561" i="1"/>
  <c r="X561" i="1" s="1"/>
  <c r="P562" i="1"/>
  <c r="Q562" i="1"/>
  <c r="R562" i="1"/>
  <c r="T562" i="1"/>
  <c r="U562" i="1" s="1"/>
  <c r="W562" i="1"/>
  <c r="X562" i="1" s="1"/>
  <c r="P563" i="1"/>
  <c r="Q563" i="1"/>
  <c r="R563" i="1"/>
  <c r="T563" i="1"/>
  <c r="U563" i="1" s="1"/>
  <c r="W563" i="1"/>
  <c r="X563" i="1" s="1"/>
  <c r="P564" i="1"/>
  <c r="Q564" i="1"/>
  <c r="R564" i="1"/>
  <c r="T564" i="1"/>
  <c r="U564" i="1" s="1"/>
  <c r="W564" i="1"/>
  <c r="X564" i="1" s="1"/>
  <c r="P565" i="1"/>
  <c r="Q565" i="1"/>
  <c r="R565" i="1"/>
  <c r="T565" i="1"/>
  <c r="U565" i="1" s="1"/>
  <c r="W565" i="1"/>
  <c r="X565" i="1" s="1"/>
  <c r="P566" i="1"/>
  <c r="Q566" i="1"/>
  <c r="R566" i="1"/>
  <c r="T566" i="1"/>
  <c r="U566" i="1" s="1"/>
  <c r="W566" i="1"/>
  <c r="X566" i="1" s="1"/>
  <c r="P567" i="1"/>
  <c r="Q567" i="1"/>
  <c r="R567" i="1"/>
  <c r="T567" i="1"/>
  <c r="U567" i="1" s="1"/>
  <c r="W567" i="1"/>
  <c r="X567" i="1" s="1"/>
  <c r="P568" i="1"/>
  <c r="Q568" i="1"/>
  <c r="R568" i="1"/>
  <c r="T568" i="1"/>
  <c r="U568" i="1" s="1"/>
  <c r="W568" i="1"/>
  <c r="X568" i="1" s="1"/>
  <c r="L569" i="1"/>
  <c r="P569" i="1"/>
  <c r="Q569" i="1"/>
  <c r="R569" i="1"/>
  <c r="T569" i="1"/>
  <c r="U569" i="1" s="1"/>
  <c r="W569" i="1"/>
  <c r="X569" i="1" s="1"/>
  <c r="P570" i="1"/>
  <c r="Q570" i="1"/>
  <c r="R570" i="1"/>
  <c r="T570" i="1"/>
  <c r="U570" i="1" s="1"/>
  <c r="W570" i="1"/>
  <c r="X570" i="1" s="1"/>
  <c r="P571" i="1"/>
  <c r="Q571" i="1"/>
  <c r="R571" i="1"/>
  <c r="T571" i="1"/>
  <c r="U571" i="1" s="1"/>
  <c r="W571" i="1"/>
  <c r="X571" i="1" s="1"/>
  <c r="P572" i="1"/>
  <c r="Q572" i="1"/>
  <c r="R572" i="1"/>
  <c r="T572" i="1"/>
  <c r="U572" i="1" s="1"/>
  <c r="W572" i="1"/>
  <c r="X572" i="1" s="1"/>
  <c r="P573" i="1"/>
  <c r="Q573" i="1"/>
  <c r="R573" i="1"/>
  <c r="T573" i="1"/>
  <c r="U573" i="1" s="1"/>
  <c r="W573" i="1"/>
  <c r="X573" i="1" s="1"/>
  <c r="P574" i="1"/>
  <c r="Q574" i="1"/>
  <c r="R574" i="1"/>
  <c r="T574" i="1"/>
  <c r="U574" i="1" s="1"/>
  <c r="W574" i="1"/>
  <c r="X574" i="1" s="1"/>
  <c r="P575" i="1"/>
  <c r="Q575" i="1"/>
  <c r="R575" i="1"/>
  <c r="T575" i="1"/>
  <c r="U575" i="1" s="1"/>
  <c r="W575" i="1"/>
  <c r="X575" i="1" s="1"/>
  <c r="P576" i="1"/>
  <c r="Q576" i="1"/>
  <c r="R576" i="1"/>
  <c r="T576" i="1"/>
  <c r="U576" i="1" s="1"/>
  <c r="W576" i="1"/>
  <c r="X576" i="1" s="1"/>
  <c r="P577" i="1"/>
  <c r="Q577" i="1"/>
  <c r="R577" i="1"/>
  <c r="T577" i="1"/>
  <c r="U577" i="1" s="1"/>
  <c r="W577" i="1"/>
  <c r="X577" i="1" s="1"/>
  <c r="P578" i="1"/>
  <c r="Q578" i="1"/>
  <c r="R578" i="1"/>
  <c r="T578" i="1"/>
  <c r="U578" i="1" s="1"/>
  <c r="W578" i="1"/>
  <c r="X578" i="1" s="1"/>
  <c r="P579" i="1"/>
  <c r="Q579" i="1"/>
  <c r="R579" i="1"/>
  <c r="T579" i="1"/>
  <c r="U579" i="1" s="1"/>
  <c r="W579" i="1"/>
  <c r="X579" i="1" s="1"/>
  <c r="P580" i="1"/>
  <c r="Q580" i="1"/>
  <c r="R580" i="1"/>
  <c r="T580" i="1"/>
  <c r="U580" i="1" s="1"/>
  <c r="W580" i="1"/>
  <c r="X580" i="1" s="1"/>
  <c r="P581" i="1"/>
  <c r="Q581" i="1"/>
  <c r="R581" i="1"/>
  <c r="T581" i="1"/>
  <c r="U581" i="1" s="1"/>
  <c r="W581" i="1"/>
  <c r="X581" i="1" s="1"/>
  <c r="P582" i="1"/>
  <c r="Q582" i="1"/>
  <c r="R582" i="1"/>
  <c r="T582" i="1"/>
  <c r="U582" i="1" s="1"/>
  <c r="W582" i="1"/>
  <c r="X582" i="1" s="1"/>
  <c r="P583" i="1"/>
  <c r="Q583" i="1"/>
  <c r="R583" i="1"/>
  <c r="T583" i="1"/>
  <c r="U583" i="1" s="1"/>
  <c r="W583" i="1"/>
  <c r="X583" i="1" s="1"/>
  <c r="P584" i="1"/>
  <c r="Q584" i="1"/>
  <c r="R584" i="1"/>
  <c r="T584" i="1"/>
  <c r="U584" i="1" s="1"/>
  <c r="W584" i="1"/>
  <c r="X584" i="1" s="1"/>
  <c r="P585" i="1"/>
  <c r="Q585" i="1"/>
  <c r="R585" i="1"/>
  <c r="T585" i="1"/>
  <c r="U585" i="1" s="1"/>
  <c r="W585" i="1"/>
  <c r="X585" i="1" s="1"/>
  <c r="P586" i="1"/>
  <c r="Q586" i="1"/>
  <c r="R586" i="1"/>
  <c r="T586" i="1"/>
  <c r="U586" i="1" s="1"/>
  <c r="W586" i="1"/>
  <c r="X586" i="1" s="1"/>
  <c r="P587" i="1"/>
  <c r="Q587" i="1"/>
  <c r="R587" i="1"/>
  <c r="T587" i="1"/>
  <c r="U587" i="1" s="1"/>
  <c r="W587" i="1"/>
  <c r="X587" i="1" s="1"/>
  <c r="L588" i="1"/>
  <c r="P588" i="1"/>
  <c r="Q588" i="1"/>
  <c r="R588" i="1"/>
  <c r="T588" i="1"/>
  <c r="U588" i="1" s="1"/>
  <c r="W588" i="1"/>
  <c r="X588" i="1" s="1"/>
  <c r="P589" i="1"/>
  <c r="Q589" i="1"/>
  <c r="R589" i="1"/>
  <c r="T589" i="1"/>
  <c r="U589" i="1" s="1"/>
  <c r="W589" i="1"/>
  <c r="X589" i="1" s="1"/>
  <c r="P590" i="1"/>
  <c r="Q590" i="1"/>
  <c r="R590" i="1"/>
  <c r="T590" i="1"/>
  <c r="U590" i="1" s="1"/>
  <c r="W590" i="1"/>
  <c r="X590" i="1" s="1"/>
  <c r="L591" i="1"/>
  <c r="P591" i="1"/>
  <c r="Q591" i="1"/>
  <c r="R591" i="1"/>
  <c r="T591" i="1"/>
  <c r="U591" i="1" s="1"/>
  <c r="W591" i="1"/>
  <c r="X591" i="1" s="1"/>
  <c r="P592" i="1"/>
  <c r="Q592" i="1"/>
  <c r="R592" i="1"/>
  <c r="T592" i="1"/>
  <c r="U592" i="1" s="1"/>
  <c r="W592" i="1"/>
  <c r="X592" i="1" s="1"/>
  <c r="P593" i="1"/>
  <c r="Q593" i="1"/>
  <c r="R593" i="1"/>
  <c r="T593" i="1"/>
  <c r="U593" i="1" s="1"/>
  <c r="W593" i="1"/>
  <c r="X593" i="1" s="1"/>
  <c r="P594" i="1"/>
  <c r="Q594" i="1"/>
  <c r="R594" i="1"/>
  <c r="T594" i="1"/>
  <c r="U594" i="1" s="1"/>
  <c r="W594" i="1"/>
  <c r="X594" i="1" s="1"/>
  <c r="P595" i="1"/>
  <c r="Q595" i="1"/>
  <c r="R595" i="1"/>
  <c r="T595" i="1"/>
  <c r="U595" i="1" s="1"/>
  <c r="W595" i="1"/>
  <c r="X595" i="1" s="1"/>
  <c r="P596" i="1"/>
  <c r="Q596" i="1"/>
  <c r="R596" i="1"/>
  <c r="T596" i="1"/>
  <c r="U596" i="1" s="1"/>
  <c r="W596" i="1"/>
  <c r="X596" i="1" s="1"/>
  <c r="P597" i="1"/>
  <c r="Q597" i="1"/>
  <c r="R597" i="1"/>
  <c r="T597" i="1"/>
  <c r="U597" i="1" s="1"/>
  <c r="W597" i="1"/>
  <c r="X597" i="1" s="1"/>
  <c r="P598" i="1"/>
  <c r="Q598" i="1"/>
  <c r="R598" i="1"/>
  <c r="T598" i="1"/>
  <c r="U598" i="1" s="1"/>
  <c r="W598" i="1"/>
  <c r="X598" i="1" s="1"/>
  <c r="P599" i="1"/>
  <c r="Q599" i="1"/>
  <c r="R599" i="1"/>
  <c r="T599" i="1"/>
  <c r="U599" i="1" s="1"/>
  <c r="W599" i="1"/>
  <c r="X599" i="1" s="1"/>
  <c r="P600" i="1"/>
  <c r="Q600" i="1"/>
  <c r="R600" i="1"/>
  <c r="T600" i="1"/>
  <c r="U600" i="1" s="1"/>
  <c r="W600" i="1"/>
  <c r="X600" i="1" s="1"/>
  <c r="P601" i="1"/>
  <c r="Q601" i="1"/>
  <c r="R601" i="1"/>
  <c r="T601" i="1"/>
  <c r="U601" i="1" s="1"/>
  <c r="W601" i="1"/>
  <c r="X601" i="1" s="1"/>
  <c r="P602" i="1"/>
  <c r="Q602" i="1"/>
  <c r="R602" i="1"/>
  <c r="T602" i="1"/>
  <c r="U602" i="1" s="1"/>
  <c r="W602" i="1"/>
  <c r="X602" i="1" s="1"/>
  <c r="P603" i="1"/>
  <c r="Q603" i="1"/>
  <c r="R603" i="1"/>
  <c r="T603" i="1"/>
  <c r="U603" i="1" s="1"/>
  <c r="W603" i="1"/>
  <c r="X603" i="1" s="1"/>
  <c r="L604" i="1"/>
  <c r="P604" i="1"/>
  <c r="Q604" i="1"/>
  <c r="R604" i="1"/>
  <c r="T604" i="1"/>
  <c r="U604" i="1" s="1"/>
  <c r="W604" i="1"/>
  <c r="X604" i="1" s="1"/>
  <c r="P605" i="1"/>
  <c r="Q605" i="1"/>
  <c r="R605" i="1"/>
  <c r="T605" i="1"/>
  <c r="U605" i="1" s="1"/>
  <c r="W605" i="1"/>
  <c r="X605" i="1" s="1"/>
  <c r="P606" i="1"/>
  <c r="Q606" i="1"/>
  <c r="R606" i="1"/>
  <c r="T606" i="1"/>
  <c r="U606" i="1" s="1"/>
  <c r="W606" i="1"/>
  <c r="X606" i="1" s="1"/>
  <c r="P607" i="1"/>
  <c r="Q607" i="1"/>
  <c r="R607" i="1"/>
  <c r="T607" i="1"/>
  <c r="U607" i="1" s="1"/>
  <c r="W607" i="1"/>
  <c r="X607" i="1" s="1"/>
  <c r="P608" i="1"/>
  <c r="Q608" i="1"/>
  <c r="R608" i="1"/>
  <c r="T608" i="1"/>
  <c r="U608" i="1" s="1"/>
  <c r="W608" i="1"/>
  <c r="X608" i="1" s="1"/>
  <c r="P609" i="1"/>
  <c r="Q609" i="1"/>
  <c r="R609" i="1"/>
  <c r="T609" i="1"/>
  <c r="U609" i="1" s="1"/>
  <c r="W609" i="1"/>
  <c r="X609" i="1" s="1"/>
  <c r="L610" i="1"/>
  <c r="P610" i="1"/>
  <c r="Q610" i="1"/>
  <c r="R610" i="1"/>
  <c r="T610" i="1"/>
  <c r="U610" i="1" s="1"/>
  <c r="W610" i="1"/>
  <c r="X610" i="1" s="1"/>
  <c r="L611" i="1"/>
  <c r="P611" i="1"/>
  <c r="Q611" i="1"/>
  <c r="R611" i="1"/>
  <c r="T611" i="1"/>
  <c r="U611" i="1" s="1"/>
  <c r="W611" i="1"/>
  <c r="X611" i="1" s="1"/>
  <c r="P612" i="1"/>
  <c r="Q612" i="1"/>
  <c r="R612" i="1"/>
  <c r="T612" i="1"/>
  <c r="U612" i="1" s="1"/>
  <c r="W612" i="1"/>
  <c r="X612" i="1" s="1"/>
  <c r="L613" i="1"/>
  <c r="P613" i="1"/>
  <c r="Q613" i="1"/>
  <c r="R613" i="1"/>
  <c r="T613" i="1"/>
  <c r="U613" i="1" s="1"/>
  <c r="W613" i="1"/>
  <c r="X613" i="1" s="1"/>
  <c r="P614" i="1"/>
  <c r="Q614" i="1"/>
  <c r="R614" i="1"/>
  <c r="T614" i="1"/>
  <c r="U614" i="1" s="1"/>
  <c r="W614" i="1"/>
  <c r="X614" i="1" s="1"/>
  <c r="P615" i="1"/>
  <c r="Q615" i="1"/>
  <c r="R615" i="1"/>
  <c r="T615" i="1"/>
  <c r="U615" i="1" s="1"/>
  <c r="W615" i="1"/>
  <c r="X615" i="1" s="1"/>
  <c r="P616" i="1"/>
  <c r="Q616" i="1"/>
  <c r="R616" i="1"/>
  <c r="T616" i="1"/>
  <c r="U616" i="1" s="1"/>
  <c r="W616" i="1"/>
  <c r="X616" i="1" s="1"/>
  <c r="P617" i="1"/>
  <c r="Q617" i="1"/>
  <c r="R617" i="1"/>
  <c r="T617" i="1"/>
  <c r="U617" i="1" s="1"/>
  <c r="W617" i="1"/>
  <c r="X617" i="1" s="1"/>
  <c r="P618" i="1"/>
  <c r="Q618" i="1"/>
  <c r="R618" i="1"/>
  <c r="T618" i="1"/>
  <c r="U618" i="1" s="1"/>
  <c r="W618" i="1"/>
  <c r="X618" i="1" s="1"/>
  <c r="P619" i="1"/>
  <c r="Q619" i="1"/>
  <c r="R619" i="1"/>
  <c r="T619" i="1"/>
  <c r="U619" i="1" s="1"/>
  <c r="W619" i="1"/>
  <c r="X619" i="1" s="1"/>
  <c r="P620" i="1"/>
  <c r="Q620" i="1"/>
  <c r="R620" i="1"/>
  <c r="T620" i="1"/>
  <c r="U620" i="1" s="1"/>
  <c r="W620" i="1"/>
  <c r="X620" i="1" s="1"/>
  <c r="P621" i="1"/>
  <c r="Q621" i="1"/>
  <c r="R621" i="1"/>
  <c r="T621" i="1"/>
  <c r="U621" i="1" s="1"/>
  <c r="W621" i="1"/>
  <c r="X621" i="1" s="1"/>
  <c r="P622" i="1"/>
  <c r="Q622" i="1"/>
  <c r="R622" i="1"/>
  <c r="T622" i="1"/>
  <c r="U622" i="1" s="1"/>
  <c r="W622" i="1"/>
  <c r="X622" i="1" s="1"/>
  <c r="P623" i="1"/>
  <c r="Q623" i="1"/>
  <c r="R623" i="1"/>
  <c r="T623" i="1"/>
  <c r="U623" i="1" s="1"/>
  <c r="W623" i="1"/>
  <c r="X623" i="1" s="1"/>
  <c r="P624" i="1"/>
  <c r="Q624" i="1"/>
  <c r="R624" i="1"/>
  <c r="T624" i="1"/>
  <c r="U624" i="1" s="1"/>
  <c r="W624" i="1"/>
  <c r="X624" i="1" s="1"/>
  <c r="P625" i="1"/>
  <c r="Q625" i="1"/>
  <c r="R625" i="1"/>
  <c r="T625" i="1"/>
  <c r="U625" i="1" s="1"/>
  <c r="W625" i="1"/>
  <c r="X625" i="1" s="1"/>
  <c r="P626" i="1"/>
  <c r="Q626" i="1"/>
  <c r="R626" i="1"/>
  <c r="T626" i="1"/>
  <c r="U626" i="1" s="1"/>
  <c r="W626" i="1"/>
  <c r="X626" i="1" s="1"/>
  <c r="P627" i="1"/>
  <c r="Q627" i="1"/>
  <c r="R627" i="1"/>
  <c r="T627" i="1"/>
  <c r="U627" i="1" s="1"/>
  <c r="W627" i="1"/>
  <c r="X627" i="1" s="1"/>
  <c r="P628" i="1"/>
  <c r="Q628" i="1"/>
  <c r="R628" i="1"/>
  <c r="T628" i="1"/>
  <c r="U628" i="1" s="1"/>
  <c r="W628" i="1"/>
  <c r="X628" i="1" s="1"/>
  <c r="P629" i="1"/>
  <c r="Q629" i="1"/>
  <c r="R629" i="1"/>
  <c r="T629" i="1"/>
  <c r="U629" i="1" s="1"/>
  <c r="W629" i="1"/>
  <c r="X629" i="1" s="1"/>
  <c r="P630" i="1"/>
  <c r="Q630" i="1"/>
  <c r="R630" i="1"/>
  <c r="T630" i="1"/>
  <c r="U630" i="1" s="1"/>
  <c r="W630" i="1"/>
  <c r="X630" i="1" s="1"/>
  <c r="P631" i="1"/>
  <c r="Q631" i="1"/>
  <c r="R631" i="1"/>
  <c r="T631" i="1"/>
  <c r="U631" i="1" s="1"/>
  <c r="W631" i="1"/>
  <c r="X631" i="1" s="1"/>
  <c r="P632" i="1"/>
  <c r="Q632" i="1"/>
  <c r="R632" i="1"/>
  <c r="T632" i="1"/>
  <c r="U632" i="1" s="1"/>
  <c r="W632" i="1"/>
  <c r="X632" i="1" s="1"/>
  <c r="P633" i="1"/>
  <c r="Q633" i="1"/>
  <c r="R633" i="1"/>
  <c r="T633" i="1"/>
  <c r="U633" i="1" s="1"/>
  <c r="W633" i="1"/>
  <c r="X633" i="1" s="1"/>
  <c r="P634" i="1"/>
  <c r="Q634" i="1"/>
  <c r="R634" i="1"/>
  <c r="T634" i="1"/>
  <c r="U634" i="1" s="1"/>
  <c r="W634" i="1"/>
  <c r="X634" i="1" s="1"/>
  <c r="P635" i="1"/>
  <c r="Q635" i="1"/>
  <c r="R635" i="1"/>
  <c r="T635" i="1"/>
  <c r="U635" i="1" s="1"/>
  <c r="W635" i="1"/>
  <c r="X635" i="1" s="1"/>
  <c r="P636" i="1"/>
  <c r="Q636" i="1"/>
  <c r="R636" i="1"/>
  <c r="T636" i="1"/>
  <c r="U636" i="1" s="1"/>
  <c r="W636" i="1"/>
  <c r="X636" i="1" s="1"/>
  <c r="P637" i="1"/>
  <c r="Q637" i="1"/>
  <c r="R637" i="1"/>
  <c r="P638" i="1"/>
  <c r="Q638" i="1"/>
  <c r="R638" i="1"/>
  <c r="T638" i="1"/>
  <c r="U638" i="1" s="1"/>
  <c r="W638" i="1"/>
  <c r="X638" i="1" s="1"/>
  <c r="P639" i="1"/>
  <c r="Q639" i="1"/>
  <c r="R639" i="1"/>
  <c r="T639" i="1"/>
  <c r="U639" i="1" s="1"/>
  <c r="W639" i="1"/>
  <c r="X639" i="1" s="1"/>
  <c r="P640" i="1"/>
  <c r="Q640" i="1"/>
  <c r="R640" i="1"/>
  <c r="T640" i="1"/>
  <c r="U640" i="1" s="1"/>
  <c r="W640" i="1"/>
  <c r="X640" i="1" s="1"/>
  <c r="P641" i="1"/>
  <c r="Q641" i="1"/>
  <c r="R641" i="1"/>
  <c r="T641" i="1"/>
  <c r="U641" i="1" s="1"/>
  <c r="W641" i="1"/>
  <c r="X641" i="1" s="1"/>
  <c r="P642" i="1"/>
  <c r="Q642" i="1"/>
  <c r="R642" i="1"/>
  <c r="T642" i="1"/>
  <c r="U642" i="1" s="1"/>
  <c r="W642" i="1"/>
  <c r="X642" i="1" s="1"/>
  <c r="P643" i="1"/>
  <c r="Q643" i="1"/>
  <c r="R643" i="1"/>
  <c r="T643" i="1"/>
  <c r="U643" i="1" s="1"/>
  <c r="W643" i="1"/>
  <c r="X643" i="1" s="1"/>
  <c r="P644" i="1"/>
  <c r="Q644" i="1"/>
  <c r="R644" i="1"/>
  <c r="T644" i="1"/>
  <c r="U644" i="1" s="1"/>
  <c r="W644" i="1"/>
  <c r="X644" i="1" s="1"/>
  <c r="P645" i="1"/>
  <c r="Q645" i="1"/>
  <c r="R645" i="1"/>
  <c r="T645" i="1"/>
  <c r="U645" i="1" s="1"/>
  <c r="W645" i="1"/>
  <c r="X645" i="1" s="1"/>
  <c r="P646" i="1"/>
  <c r="Q646" i="1"/>
  <c r="R646" i="1"/>
  <c r="T646" i="1"/>
  <c r="U646" i="1" s="1"/>
  <c r="W646" i="1"/>
  <c r="X646" i="1" s="1"/>
  <c r="P647" i="1"/>
  <c r="Q647" i="1"/>
  <c r="R647" i="1"/>
  <c r="T647" i="1"/>
  <c r="U647" i="1" s="1"/>
  <c r="W647" i="1"/>
  <c r="X647" i="1" s="1"/>
  <c r="P648" i="1"/>
  <c r="Q648" i="1"/>
  <c r="R648" i="1"/>
  <c r="T648" i="1"/>
  <c r="U648" i="1" s="1"/>
  <c r="W648" i="1"/>
  <c r="X648" i="1" s="1"/>
  <c r="P649" i="1"/>
  <c r="Q649" i="1"/>
  <c r="R649" i="1"/>
  <c r="T649" i="1"/>
  <c r="U649" i="1" s="1"/>
  <c r="W649" i="1"/>
  <c r="X649" i="1" s="1"/>
  <c r="P650" i="1"/>
  <c r="Q650" i="1"/>
  <c r="R650" i="1"/>
  <c r="T650" i="1"/>
  <c r="U650" i="1" s="1"/>
  <c r="W650" i="1"/>
  <c r="X650" i="1" s="1"/>
  <c r="P651" i="1"/>
  <c r="Q651" i="1"/>
  <c r="R651" i="1"/>
  <c r="T651" i="1"/>
  <c r="U651" i="1" s="1"/>
  <c r="W651" i="1"/>
  <c r="X651" i="1" s="1"/>
  <c r="L652" i="1"/>
  <c r="P652" i="1"/>
  <c r="Q652" i="1"/>
  <c r="R652" i="1"/>
  <c r="T652" i="1"/>
  <c r="U652" i="1" s="1"/>
  <c r="W652" i="1"/>
  <c r="X652" i="1" s="1"/>
  <c r="L653" i="1"/>
  <c r="P653" i="1"/>
  <c r="Q653" i="1"/>
  <c r="R653" i="1"/>
  <c r="T653" i="1"/>
  <c r="U653" i="1" s="1"/>
  <c r="W653" i="1"/>
  <c r="X653" i="1" s="1"/>
  <c r="P654" i="1"/>
  <c r="Q654" i="1"/>
  <c r="R654" i="1"/>
  <c r="T654" i="1"/>
  <c r="U654" i="1" s="1"/>
  <c r="W654" i="1"/>
  <c r="X654" i="1" s="1"/>
  <c r="P655" i="1"/>
  <c r="Q655" i="1"/>
  <c r="R655" i="1"/>
  <c r="T655" i="1"/>
  <c r="U655" i="1" s="1"/>
  <c r="W655" i="1"/>
  <c r="X655" i="1" s="1"/>
  <c r="P656" i="1"/>
  <c r="Q656" i="1"/>
  <c r="R656" i="1"/>
  <c r="T656" i="1"/>
  <c r="U656" i="1" s="1"/>
  <c r="W656" i="1"/>
  <c r="X656" i="1" s="1"/>
  <c r="P657" i="1"/>
  <c r="Q657" i="1"/>
  <c r="R657" i="1"/>
  <c r="T657" i="1"/>
  <c r="U657" i="1" s="1"/>
  <c r="W657" i="1"/>
  <c r="X657" i="1" s="1"/>
  <c r="P658" i="1"/>
  <c r="Q658" i="1"/>
  <c r="R658" i="1"/>
  <c r="T658" i="1"/>
  <c r="U658" i="1" s="1"/>
  <c r="W658" i="1"/>
  <c r="X658" i="1" s="1"/>
  <c r="P659" i="1"/>
  <c r="Q659" i="1"/>
  <c r="R659" i="1"/>
  <c r="T659" i="1"/>
  <c r="U659" i="1" s="1"/>
  <c r="W659" i="1"/>
  <c r="X659" i="1" s="1"/>
  <c r="P660" i="1"/>
  <c r="Q660" i="1"/>
  <c r="R660" i="1"/>
  <c r="T660" i="1"/>
  <c r="U660" i="1" s="1"/>
  <c r="W660" i="1"/>
  <c r="X660" i="1" s="1"/>
  <c r="P661" i="1"/>
  <c r="Q661" i="1"/>
  <c r="R661" i="1"/>
  <c r="T661" i="1"/>
  <c r="U661" i="1" s="1"/>
  <c r="W661" i="1"/>
  <c r="X661" i="1" s="1"/>
  <c r="P662" i="1"/>
  <c r="Q662" i="1"/>
  <c r="R662" i="1"/>
  <c r="T662" i="1"/>
  <c r="U662" i="1" s="1"/>
  <c r="W662" i="1"/>
  <c r="X662" i="1" s="1"/>
  <c r="P663" i="1"/>
  <c r="Q663" i="1"/>
  <c r="R663" i="1"/>
  <c r="T663" i="1"/>
  <c r="U663" i="1" s="1"/>
  <c r="W663" i="1"/>
  <c r="X663" i="1" s="1"/>
  <c r="P664" i="1"/>
  <c r="Q664" i="1"/>
  <c r="R664" i="1"/>
  <c r="T664" i="1"/>
  <c r="U664" i="1" s="1"/>
  <c r="W664" i="1"/>
  <c r="X664" i="1" s="1"/>
  <c r="P665" i="1"/>
  <c r="Q665" i="1"/>
  <c r="R665" i="1"/>
  <c r="T665" i="1"/>
  <c r="U665" i="1" s="1"/>
  <c r="W665" i="1"/>
  <c r="X665" i="1" s="1"/>
  <c r="P666" i="1"/>
  <c r="Q666" i="1"/>
  <c r="R666" i="1"/>
  <c r="T666" i="1"/>
  <c r="U666" i="1" s="1"/>
  <c r="W666" i="1"/>
  <c r="X666" i="1" s="1"/>
  <c r="P667" i="1"/>
  <c r="Q667" i="1"/>
  <c r="R667" i="1"/>
  <c r="T667" i="1"/>
  <c r="U667" i="1" s="1"/>
  <c r="W667" i="1"/>
  <c r="X667" i="1" s="1"/>
  <c r="P668" i="1"/>
  <c r="Q668" i="1"/>
  <c r="R668" i="1"/>
  <c r="T668" i="1"/>
  <c r="U668" i="1" s="1"/>
  <c r="W668" i="1"/>
  <c r="X668" i="1" s="1"/>
  <c r="P669" i="1"/>
  <c r="Q669" i="1"/>
  <c r="R669" i="1"/>
  <c r="T669" i="1"/>
  <c r="U669" i="1" s="1"/>
  <c r="W669" i="1"/>
  <c r="X669" i="1" s="1"/>
  <c r="P670" i="1"/>
  <c r="Q670" i="1"/>
  <c r="R670" i="1"/>
  <c r="T670" i="1"/>
  <c r="U670" i="1" s="1"/>
  <c r="W670" i="1"/>
  <c r="X670" i="1" s="1"/>
  <c r="P671" i="1"/>
  <c r="Q671" i="1"/>
  <c r="R671" i="1"/>
  <c r="T671" i="1"/>
  <c r="U671" i="1" s="1"/>
  <c r="W671" i="1"/>
  <c r="X671" i="1" s="1"/>
  <c r="P672" i="1"/>
  <c r="Q672" i="1"/>
  <c r="R672" i="1"/>
  <c r="T672" i="1"/>
  <c r="U672" i="1" s="1"/>
  <c r="W672" i="1"/>
  <c r="X672" i="1" s="1"/>
  <c r="P673" i="1"/>
  <c r="Q673" i="1"/>
  <c r="R673" i="1"/>
  <c r="T673" i="1"/>
  <c r="U673" i="1" s="1"/>
  <c r="W673" i="1"/>
  <c r="X673" i="1" s="1"/>
  <c r="P674" i="1"/>
  <c r="Q674" i="1"/>
  <c r="R674" i="1"/>
  <c r="T674" i="1"/>
  <c r="U674" i="1" s="1"/>
  <c r="W674" i="1"/>
  <c r="X674" i="1" s="1"/>
  <c r="P675" i="1"/>
  <c r="Q675" i="1"/>
  <c r="R675" i="1"/>
  <c r="T675" i="1"/>
  <c r="U675" i="1" s="1"/>
  <c r="W675" i="1"/>
  <c r="X675" i="1" s="1"/>
  <c r="P676" i="1"/>
  <c r="Q676" i="1"/>
  <c r="R676" i="1"/>
  <c r="T676" i="1"/>
  <c r="U676" i="1" s="1"/>
  <c r="W676" i="1"/>
  <c r="X676" i="1" s="1"/>
  <c r="P677" i="1"/>
  <c r="Q677" i="1"/>
  <c r="R677" i="1"/>
  <c r="T677" i="1"/>
  <c r="U677" i="1" s="1"/>
  <c r="W677" i="1"/>
  <c r="X677" i="1" s="1"/>
  <c r="P678" i="1"/>
  <c r="Q678" i="1"/>
  <c r="R678" i="1"/>
  <c r="T678" i="1"/>
  <c r="U678" i="1" s="1"/>
  <c r="W678" i="1"/>
  <c r="X678" i="1" s="1"/>
  <c r="P679" i="1"/>
  <c r="Q679" i="1"/>
  <c r="R679" i="1"/>
  <c r="T679" i="1"/>
  <c r="U679" i="1" s="1"/>
  <c r="W679" i="1"/>
  <c r="X679" i="1" s="1"/>
  <c r="P680" i="1"/>
  <c r="Q680" i="1"/>
  <c r="R680" i="1"/>
  <c r="T680" i="1"/>
  <c r="U680" i="1" s="1"/>
  <c r="W680" i="1"/>
  <c r="X680" i="1" s="1"/>
  <c r="P681" i="1"/>
  <c r="Q681" i="1"/>
  <c r="R681" i="1"/>
  <c r="T681" i="1"/>
  <c r="U681" i="1" s="1"/>
  <c r="W681" i="1"/>
  <c r="X681" i="1" s="1"/>
  <c r="P682" i="1"/>
  <c r="Q682" i="1"/>
  <c r="R682" i="1"/>
  <c r="T682" i="1"/>
  <c r="U682" i="1" s="1"/>
  <c r="W682" i="1"/>
  <c r="X682" i="1" s="1"/>
  <c r="P683" i="1"/>
  <c r="Q683" i="1"/>
  <c r="R683" i="1"/>
  <c r="T683" i="1"/>
  <c r="U683" i="1" s="1"/>
  <c r="W683" i="1"/>
  <c r="X683" i="1" s="1"/>
  <c r="P684" i="1"/>
  <c r="Q684" i="1"/>
  <c r="R684" i="1"/>
  <c r="T684" i="1"/>
  <c r="U684" i="1" s="1"/>
  <c r="W684" i="1"/>
  <c r="X684" i="1" s="1"/>
  <c r="P685" i="1"/>
  <c r="Q685" i="1"/>
  <c r="R685" i="1"/>
  <c r="T685" i="1"/>
  <c r="U685" i="1" s="1"/>
  <c r="W685" i="1"/>
  <c r="X685" i="1" s="1"/>
  <c r="P686" i="1"/>
  <c r="Q686" i="1"/>
  <c r="R686" i="1"/>
  <c r="T686" i="1"/>
  <c r="U686" i="1" s="1"/>
  <c r="W686" i="1"/>
  <c r="X686" i="1" s="1"/>
  <c r="P687" i="1"/>
  <c r="Q687" i="1"/>
  <c r="R687" i="1"/>
  <c r="T687" i="1"/>
  <c r="U687" i="1" s="1"/>
  <c r="W687" i="1"/>
  <c r="X687" i="1" s="1"/>
  <c r="P688" i="1"/>
  <c r="Q688" i="1"/>
  <c r="R688" i="1"/>
  <c r="T688" i="1"/>
  <c r="U688" i="1" s="1"/>
  <c r="W688" i="1"/>
  <c r="X688" i="1" s="1"/>
  <c r="P689" i="1"/>
  <c r="Q689" i="1"/>
  <c r="R689" i="1"/>
  <c r="T689" i="1"/>
  <c r="U689" i="1" s="1"/>
  <c r="W689" i="1"/>
  <c r="X689" i="1" s="1"/>
  <c r="P690" i="1"/>
  <c r="Q690" i="1"/>
  <c r="R690" i="1"/>
  <c r="T690" i="1"/>
  <c r="U690" i="1" s="1"/>
  <c r="W690" i="1"/>
  <c r="X690" i="1" s="1"/>
  <c r="P691" i="1"/>
  <c r="Q691" i="1"/>
  <c r="R691" i="1"/>
  <c r="T691" i="1"/>
  <c r="U691" i="1" s="1"/>
  <c r="W691" i="1"/>
  <c r="X691" i="1" s="1"/>
  <c r="P692" i="1"/>
  <c r="Q692" i="1"/>
  <c r="R692" i="1"/>
  <c r="T692" i="1"/>
  <c r="U692" i="1" s="1"/>
  <c r="W692" i="1"/>
  <c r="X692" i="1" s="1"/>
  <c r="L693" i="1"/>
  <c r="P693" i="1"/>
  <c r="Q693" i="1"/>
  <c r="R693" i="1"/>
  <c r="T693" i="1"/>
  <c r="U693" i="1" s="1"/>
  <c r="W693" i="1"/>
  <c r="X693" i="1" s="1"/>
  <c r="P694" i="1"/>
  <c r="Q694" i="1"/>
  <c r="R694" i="1"/>
  <c r="T694" i="1"/>
  <c r="U694" i="1" s="1"/>
  <c r="W694" i="1"/>
  <c r="X694" i="1" s="1"/>
  <c r="L695" i="1"/>
  <c r="P695" i="1"/>
  <c r="Q695" i="1"/>
  <c r="R695" i="1"/>
  <c r="T695" i="1"/>
  <c r="U695" i="1" s="1"/>
  <c r="W695" i="1"/>
  <c r="X695" i="1" s="1"/>
  <c r="P696" i="1"/>
  <c r="Q696" i="1"/>
  <c r="R696" i="1"/>
  <c r="T696" i="1"/>
  <c r="U696" i="1" s="1"/>
  <c r="W696" i="1"/>
  <c r="X696" i="1" s="1"/>
  <c r="P697" i="1"/>
  <c r="Q697" i="1"/>
  <c r="R697" i="1"/>
  <c r="T697" i="1"/>
  <c r="U697" i="1" s="1"/>
  <c r="W697" i="1"/>
  <c r="X697" i="1" s="1"/>
  <c r="P698" i="1"/>
  <c r="Q698" i="1"/>
  <c r="R698" i="1"/>
  <c r="T698" i="1"/>
  <c r="U698" i="1" s="1"/>
  <c r="W698" i="1"/>
  <c r="X698" i="1" s="1"/>
  <c r="L699" i="1"/>
  <c r="P699" i="1"/>
  <c r="Q699" i="1"/>
  <c r="R699" i="1"/>
  <c r="T699" i="1"/>
  <c r="U699" i="1" s="1"/>
  <c r="W699" i="1"/>
  <c r="X699" i="1" s="1"/>
  <c r="P700" i="1"/>
  <c r="Q700" i="1"/>
  <c r="R700" i="1"/>
  <c r="T700" i="1"/>
  <c r="U700" i="1" s="1"/>
  <c r="W700" i="1"/>
  <c r="X700" i="1" s="1"/>
  <c r="P701" i="1"/>
  <c r="Q701" i="1"/>
  <c r="R701" i="1"/>
  <c r="T701" i="1"/>
  <c r="U701" i="1" s="1"/>
  <c r="W701" i="1"/>
  <c r="X701" i="1" s="1"/>
  <c r="P702" i="1"/>
  <c r="Q702" i="1"/>
  <c r="R702" i="1"/>
  <c r="T702" i="1"/>
  <c r="U702" i="1" s="1"/>
  <c r="W702" i="1"/>
  <c r="X702" i="1" s="1"/>
  <c r="P703" i="1"/>
  <c r="Q703" i="1"/>
  <c r="R703" i="1"/>
  <c r="T703" i="1"/>
  <c r="U703" i="1" s="1"/>
  <c r="W703" i="1"/>
  <c r="X703" i="1" s="1"/>
  <c r="P704" i="1"/>
  <c r="Q704" i="1"/>
  <c r="R704" i="1"/>
  <c r="T704" i="1"/>
  <c r="U704" i="1" s="1"/>
  <c r="W704" i="1"/>
  <c r="X704" i="1" s="1"/>
  <c r="P705" i="1"/>
  <c r="Q705" i="1"/>
  <c r="R705" i="1"/>
  <c r="T705" i="1"/>
  <c r="U705" i="1" s="1"/>
  <c r="W705" i="1"/>
  <c r="X705" i="1" s="1"/>
  <c r="L706" i="1"/>
  <c r="P706" i="1"/>
  <c r="Q706" i="1"/>
  <c r="R706" i="1"/>
  <c r="T706" i="1"/>
  <c r="U706" i="1" s="1"/>
  <c r="W706" i="1"/>
  <c r="X706" i="1" s="1"/>
  <c r="P707" i="1"/>
  <c r="Q707" i="1"/>
  <c r="R707" i="1"/>
  <c r="T707" i="1"/>
  <c r="U707" i="1" s="1"/>
  <c r="W707" i="1"/>
  <c r="X707" i="1" s="1"/>
  <c r="P708" i="1"/>
  <c r="Q708" i="1"/>
  <c r="R708" i="1"/>
  <c r="T708" i="1"/>
  <c r="U708" i="1" s="1"/>
  <c r="W708" i="1"/>
  <c r="X708" i="1" s="1"/>
  <c r="P709" i="1"/>
  <c r="Q709" i="1"/>
  <c r="R709" i="1"/>
  <c r="T709" i="1"/>
  <c r="U709" i="1" s="1"/>
  <c r="W709" i="1"/>
  <c r="X709" i="1" s="1"/>
  <c r="P710" i="1"/>
  <c r="Q710" i="1"/>
  <c r="R710" i="1"/>
  <c r="T710" i="1"/>
  <c r="U710" i="1" s="1"/>
  <c r="W710" i="1"/>
  <c r="X710" i="1" s="1"/>
  <c r="P711" i="1"/>
  <c r="Q711" i="1"/>
  <c r="R711" i="1"/>
  <c r="T711" i="1"/>
  <c r="U711" i="1" s="1"/>
  <c r="W711" i="1"/>
  <c r="X711" i="1" s="1"/>
  <c r="P712" i="1"/>
  <c r="Q712" i="1"/>
  <c r="R712" i="1"/>
  <c r="T712" i="1"/>
  <c r="U712" i="1" s="1"/>
  <c r="W712" i="1"/>
  <c r="X712" i="1" s="1"/>
  <c r="P713" i="1"/>
  <c r="Q713" i="1"/>
  <c r="R713" i="1"/>
  <c r="T713" i="1"/>
  <c r="U713" i="1" s="1"/>
  <c r="W713" i="1"/>
  <c r="X713" i="1" s="1"/>
  <c r="P714" i="1"/>
  <c r="Q714" i="1"/>
  <c r="R714" i="1"/>
  <c r="T714" i="1"/>
  <c r="U714" i="1" s="1"/>
  <c r="W714" i="1"/>
  <c r="X714" i="1" s="1"/>
  <c r="P715" i="1"/>
  <c r="Q715" i="1"/>
  <c r="R715" i="1"/>
  <c r="T715" i="1"/>
  <c r="U715" i="1" s="1"/>
  <c r="W715" i="1"/>
  <c r="X715" i="1" s="1"/>
  <c r="P716" i="1"/>
  <c r="Q716" i="1"/>
  <c r="R716" i="1"/>
  <c r="T716" i="1"/>
  <c r="U716" i="1" s="1"/>
  <c r="W716" i="1"/>
  <c r="X716" i="1" s="1"/>
  <c r="P717" i="1"/>
  <c r="Q717" i="1"/>
  <c r="R717" i="1"/>
  <c r="T717" i="1"/>
  <c r="U717" i="1" s="1"/>
  <c r="W717" i="1"/>
  <c r="X717" i="1" s="1"/>
  <c r="L718" i="1"/>
  <c r="P718" i="1"/>
  <c r="Q718" i="1"/>
  <c r="R718" i="1"/>
  <c r="T718" i="1"/>
  <c r="U718" i="1" s="1"/>
  <c r="W718" i="1"/>
  <c r="X718" i="1" s="1"/>
  <c r="P719" i="1"/>
  <c r="Q719" i="1"/>
  <c r="R719" i="1"/>
  <c r="T719" i="1"/>
  <c r="U719" i="1" s="1"/>
  <c r="W719" i="1"/>
  <c r="X719" i="1" s="1"/>
  <c r="P720" i="1"/>
  <c r="Q720" i="1"/>
  <c r="R720" i="1"/>
  <c r="T720" i="1"/>
  <c r="U720" i="1" s="1"/>
  <c r="W720" i="1"/>
  <c r="X720" i="1" s="1"/>
  <c r="P721" i="1"/>
  <c r="Q721" i="1"/>
  <c r="R721" i="1"/>
  <c r="T721" i="1"/>
  <c r="U721" i="1" s="1"/>
  <c r="W721" i="1"/>
  <c r="X721" i="1" s="1"/>
  <c r="P722" i="1"/>
  <c r="Q722" i="1"/>
  <c r="R722" i="1"/>
  <c r="T722" i="1"/>
  <c r="U722" i="1" s="1"/>
  <c r="W722" i="1"/>
  <c r="X722" i="1" s="1"/>
  <c r="P723" i="1"/>
  <c r="Q723" i="1"/>
  <c r="R723" i="1"/>
  <c r="T723" i="1"/>
  <c r="U723" i="1" s="1"/>
  <c r="W723" i="1"/>
  <c r="X723" i="1" s="1"/>
  <c r="L724" i="1"/>
  <c r="P724" i="1"/>
  <c r="Q724" i="1"/>
  <c r="R724" i="1"/>
  <c r="T724" i="1"/>
  <c r="U724" i="1" s="1"/>
  <c r="W724" i="1"/>
  <c r="X724" i="1" s="1"/>
  <c r="P725" i="1"/>
  <c r="Q725" i="1"/>
  <c r="R725" i="1"/>
  <c r="T725" i="1"/>
  <c r="U725" i="1" s="1"/>
  <c r="W725" i="1"/>
  <c r="X725" i="1" s="1"/>
  <c r="P726" i="1"/>
  <c r="Q726" i="1"/>
  <c r="R726" i="1"/>
  <c r="T726" i="1"/>
  <c r="U726" i="1" s="1"/>
  <c r="W726" i="1"/>
  <c r="X726" i="1" s="1"/>
  <c r="P727" i="1"/>
  <c r="Q727" i="1"/>
  <c r="R727" i="1"/>
  <c r="T727" i="1"/>
  <c r="U727" i="1" s="1"/>
  <c r="W727" i="1"/>
  <c r="X727" i="1" s="1"/>
  <c r="P728" i="1"/>
  <c r="Q728" i="1"/>
  <c r="R728" i="1"/>
  <c r="T728" i="1"/>
  <c r="U728" i="1" s="1"/>
  <c r="W728" i="1"/>
  <c r="X728" i="1" s="1"/>
  <c r="P729" i="1"/>
  <c r="Q729" i="1"/>
  <c r="R729" i="1"/>
  <c r="T729" i="1"/>
  <c r="U729" i="1" s="1"/>
  <c r="W729" i="1"/>
  <c r="X729" i="1" s="1"/>
  <c r="P730" i="1"/>
  <c r="Q730" i="1"/>
  <c r="R730" i="1"/>
  <c r="T730" i="1"/>
  <c r="U730" i="1" s="1"/>
  <c r="W730" i="1"/>
  <c r="X730" i="1" s="1"/>
  <c r="P731" i="1"/>
  <c r="Q731" i="1"/>
  <c r="R731" i="1"/>
  <c r="T731" i="1"/>
  <c r="U731" i="1" s="1"/>
  <c r="W731" i="1"/>
  <c r="X731" i="1" s="1"/>
  <c r="P732" i="1"/>
  <c r="Q732" i="1"/>
  <c r="R732" i="1"/>
  <c r="T732" i="1"/>
  <c r="U732" i="1" s="1"/>
  <c r="W732" i="1"/>
  <c r="X732" i="1" s="1"/>
  <c r="P733" i="1"/>
  <c r="Q733" i="1"/>
  <c r="R733" i="1"/>
  <c r="T733" i="1"/>
  <c r="U733" i="1" s="1"/>
  <c r="W733" i="1"/>
  <c r="X733" i="1" s="1"/>
  <c r="P734" i="1"/>
  <c r="Q734" i="1"/>
  <c r="R734" i="1"/>
  <c r="T734" i="1"/>
  <c r="U734" i="1" s="1"/>
  <c r="W734" i="1"/>
  <c r="X734" i="1" s="1"/>
  <c r="P735" i="1"/>
  <c r="Q735" i="1"/>
  <c r="R735" i="1"/>
  <c r="T735" i="1"/>
  <c r="U735" i="1" s="1"/>
  <c r="W735" i="1"/>
  <c r="X735" i="1" s="1"/>
  <c r="P736" i="1"/>
  <c r="Q736" i="1"/>
  <c r="R736" i="1"/>
  <c r="T736" i="1"/>
  <c r="U736" i="1" s="1"/>
  <c r="W736" i="1"/>
  <c r="X736" i="1" s="1"/>
  <c r="P737" i="1"/>
  <c r="Q737" i="1"/>
  <c r="R737" i="1"/>
  <c r="T737" i="1"/>
  <c r="U737" i="1" s="1"/>
  <c r="W737" i="1"/>
  <c r="X737" i="1" s="1"/>
  <c r="P738" i="1"/>
  <c r="Q738" i="1"/>
  <c r="R738" i="1"/>
  <c r="T738" i="1"/>
  <c r="U738" i="1" s="1"/>
  <c r="W738" i="1"/>
  <c r="X738" i="1" s="1"/>
  <c r="L739" i="1"/>
  <c r="P739" i="1"/>
  <c r="Q739" i="1"/>
  <c r="R739" i="1"/>
  <c r="T739" i="1"/>
  <c r="U739" i="1" s="1"/>
  <c r="W739" i="1"/>
  <c r="X739" i="1" s="1"/>
  <c r="L740" i="1"/>
  <c r="P740" i="1"/>
  <c r="Q740" i="1"/>
  <c r="R740" i="1"/>
  <c r="T740" i="1"/>
  <c r="U740" i="1" s="1"/>
  <c r="W740" i="1"/>
  <c r="X740" i="1" s="1"/>
  <c r="L741" i="1"/>
  <c r="P741" i="1"/>
  <c r="Q741" i="1"/>
  <c r="R741" i="1"/>
  <c r="T741" i="1"/>
  <c r="U741" i="1" s="1"/>
  <c r="W741" i="1"/>
  <c r="X741" i="1" s="1"/>
  <c r="L742" i="1"/>
  <c r="P742" i="1"/>
  <c r="Q742" i="1"/>
  <c r="R742" i="1"/>
  <c r="T742" i="1"/>
  <c r="U742" i="1" s="1"/>
  <c r="W742" i="1"/>
  <c r="X742" i="1" s="1"/>
  <c r="L743" i="1"/>
  <c r="P743" i="1"/>
  <c r="Q743" i="1"/>
  <c r="R743" i="1"/>
  <c r="T743" i="1"/>
  <c r="U743" i="1" s="1"/>
  <c r="W743" i="1"/>
  <c r="X743" i="1" s="1"/>
  <c r="L744" i="1"/>
  <c r="P744" i="1"/>
  <c r="Q744" i="1"/>
  <c r="R744" i="1"/>
  <c r="T744" i="1"/>
  <c r="U744" i="1" s="1"/>
  <c r="W744" i="1"/>
  <c r="X744" i="1" s="1"/>
  <c r="L745" i="1"/>
  <c r="P745" i="1"/>
  <c r="Q745" i="1"/>
  <c r="R745" i="1"/>
  <c r="T745" i="1"/>
  <c r="U745" i="1" s="1"/>
  <c r="W745" i="1"/>
  <c r="X745" i="1" s="1"/>
  <c r="L746" i="1"/>
  <c r="P746" i="1"/>
  <c r="Q746" i="1"/>
  <c r="R746" i="1"/>
  <c r="T746" i="1"/>
  <c r="U746" i="1" s="1"/>
  <c r="W746" i="1"/>
  <c r="X746" i="1" s="1"/>
  <c r="P747" i="1"/>
  <c r="Q747" i="1"/>
  <c r="R747" i="1"/>
  <c r="T747" i="1"/>
  <c r="U747" i="1" s="1"/>
  <c r="W747" i="1"/>
  <c r="X747" i="1" s="1"/>
  <c r="P748" i="1"/>
  <c r="Q748" i="1"/>
  <c r="R748" i="1"/>
  <c r="T748" i="1"/>
  <c r="U748" i="1" s="1"/>
  <c r="W748" i="1"/>
  <c r="X748" i="1" s="1"/>
  <c r="P749" i="1"/>
  <c r="Q749" i="1"/>
  <c r="R749" i="1"/>
  <c r="T749" i="1"/>
  <c r="U749" i="1" s="1"/>
  <c r="W749" i="1"/>
  <c r="X749" i="1" s="1"/>
  <c r="P750" i="1"/>
  <c r="Q750" i="1"/>
  <c r="R750" i="1"/>
  <c r="T750" i="1"/>
  <c r="U750" i="1" s="1"/>
  <c r="W750" i="1"/>
  <c r="X750" i="1" s="1"/>
  <c r="P751" i="1"/>
  <c r="Q751" i="1"/>
  <c r="R751" i="1"/>
  <c r="T751" i="1"/>
  <c r="U751" i="1" s="1"/>
  <c r="W751" i="1"/>
  <c r="X751" i="1" s="1"/>
  <c r="P752" i="1"/>
  <c r="Q752" i="1"/>
  <c r="R752" i="1"/>
  <c r="T752" i="1"/>
  <c r="U752" i="1" s="1"/>
  <c r="W752" i="1"/>
  <c r="X752" i="1" s="1"/>
  <c r="P753" i="1"/>
  <c r="Q753" i="1"/>
  <c r="R753" i="1"/>
  <c r="T753" i="1"/>
  <c r="U753" i="1" s="1"/>
  <c r="W753" i="1"/>
  <c r="X753" i="1" s="1"/>
  <c r="P754" i="1"/>
  <c r="Q754" i="1"/>
  <c r="R754" i="1"/>
  <c r="T754" i="1"/>
  <c r="U754" i="1" s="1"/>
  <c r="W754" i="1"/>
  <c r="X754" i="1" s="1"/>
  <c r="P755" i="1"/>
  <c r="Q755" i="1"/>
  <c r="R755" i="1"/>
  <c r="T755" i="1"/>
  <c r="U755" i="1" s="1"/>
  <c r="W755" i="1"/>
  <c r="X755" i="1" s="1"/>
  <c r="P756" i="1"/>
  <c r="Q756" i="1"/>
  <c r="R756" i="1"/>
  <c r="T756" i="1"/>
  <c r="U756" i="1" s="1"/>
  <c r="W756" i="1"/>
  <c r="X756" i="1" s="1"/>
  <c r="P757" i="1"/>
  <c r="Q757" i="1"/>
  <c r="R757" i="1"/>
  <c r="T757" i="1"/>
  <c r="U757" i="1" s="1"/>
  <c r="W757" i="1"/>
  <c r="X757" i="1" s="1"/>
  <c r="P758" i="1"/>
  <c r="Q758" i="1"/>
  <c r="R758" i="1"/>
  <c r="T758" i="1"/>
  <c r="U758" i="1" s="1"/>
  <c r="W758" i="1"/>
  <c r="X758" i="1" s="1"/>
  <c r="P759" i="1"/>
  <c r="Q759" i="1"/>
  <c r="R759" i="1"/>
  <c r="T759" i="1"/>
  <c r="U759" i="1" s="1"/>
  <c r="W759" i="1"/>
  <c r="X759" i="1" s="1"/>
  <c r="P760" i="1"/>
  <c r="Q760" i="1"/>
  <c r="R760" i="1"/>
  <c r="T760" i="1"/>
  <c r="U760" i="1" s="1"/>
  <c r="W760" i="1"/>
  <c r="X760" i="1" s="1"/>
  <c r="P761" i="1"/>
  <c r="Q761" i="1"/>
  <c r="R761" i="1"/>
  <c r="T761" i="1"/>
  <c r="U761" i="1" s="1"/>
  <c r="W761" i="1"/>
  <c r="X761" i="1" s="1"/>
  <c r="P762" i="1"/>
  <c r="Q762" i="1"/>
  <c r="R762" i="1"/>
  <c r="T762" i="1"/>
  <c r="U762" i="1" s="1"/>
  <c r="W762" i="1"/>
  <c r="X762" i="1" s="1"/>
  <c r="P763" i="1"/>
  <c r="Q763" i="1"/>
  <c r="R763" i="1"/>
  <c r="T763" i="1"/>
  <c r="U763" i="1" s="1"/>
  <c r="W763" i="1"/>
  <c r="X763" i="1" s="1"/>
  <c r="P764" i="1"/>
  <c r="Q764" i="1"/>
  <c r="R764" i="1"/>
  <c r="T764" i="1"/>
  <c r="U764" i="1" s="1"/>
  <c r="W764" i="1"/>
  <c r="X764" i="1" s="1"/>
  <c r="P765" i="1"/>
  <c r="Q765" i="1"/>
  <c r="R765" i="1"/>
  <c r="T765" i="1"/>
  <c r="U765" i="1" s="1"/>
  <c r="W765" i="1"/>
  <c r="X765" i="1" s="1"/>
  <c r="P766" i="1"/>
  <c r="Q766" i="1"/>
  <c r="R766" i="1"/>
  <c r="T766" i="1"/>
  <c r="U766" i="1" s="1"/>
  <c r="W766" i="1"/>
  <c r="X766" i="1" s="1"/>
  <c r="P767" i="1"/>
  <c r="Q767" i="1"/>
  <c r="R767" i="1"/>
  <c r="T767" i="1"/>
  <c r="U767" i="1" s="1"/>
  <c r="W767" i="1"/>
  <c r="X767" i="1" s="1"/>
  <c r="P768" i="1"/>
  <c r="Q768" i="1"/>
  <c r="R768" i="1"/>
  <c r="T768" i="1"/>
  <c r="U768" i="1" s="1"/>
  <c r="W768" i="1"/>
  <c r="X768" i="1" s="1"/>
  <c r="P769" i="1"/>
  <c r="Q769" i="1"/>
  <c r="R769" i="1"/>
  <c r="T769" i="1"/>
  <c r="U769" i="1" s="1"/>
  <c r="W769" i="1"/>
  <c r="X769" i="1" s="1"/>
  <c r="P12" i="1"/>
  <c r="Q12" i="1"/>
  <c r="R12" i="1"/>
  <c r="T12" i="1"/>
  <c r="U12" i="1" s="1"/>
  <c r="W12" i="1"/>
  <c r="X12" i="1" s="1"/>
  <c r="P770" i="1"/>
  <c r="Q770" i="1"/>
  <c r="R770" i="1"/>
  <c r="T770" i="1"/>
  <c r="U770" i="1" s="1"/>
  <c r="W770" i="1"/>
  <c r="X770" i="1" s="1"/>
  <c r="P771" i="1"/>
  <c r="Q771" i="1"/>
  <c r="R771" i="1"/>
  <c r="T771" i="1"/>
  <c r="U771" i="1" s="1"/>
  <c r="W771" i="1"/>
  <c r="X771" i="1" s="1"/>
  <c r="P772" i="1"/>
  <c r="Q772" i="1"/>
  <c r="R772" i="1"/>
  <c r="T772" i="1"/>
  <c r="U772" i="1" s="1"/>
  <c r="W772" i="1"/>
  <c r="X772" i="1" s="1"/>
  <c r="P773" i="1"/>
  <c r="Q773" i="1"/>
  <c r="R773" i="1"/>
  <c r="T773" i="1"/>
  <c r="U773" i="1" s="1"/>
  <c r="W773" i="1"/>
  <c r="X773" i="1" s="1"/>
  <c r="P774" i="1"/>
  <c r="Q774" i="1"/>
  <c r="R774" i="1"/>
  <c r="T774" i="1"/>
  <c r="U774" i="1" s="1"/>
  <c r="W774" i="1"/>
  <c r="X774" i="1" s="1"/>
  <c r="P775" i="1"/>
  <c r="Q775" i="1"/>
  <c r="R775" i="1"/>
  <c r="T775" i="1"/>
  <c r="U775" i="1" s="1"/>
  <c r="W775" i="1"/>
  <c r="X775" i="1" s="1"/>
  <c r="P776" i="1"/>
  <c r="Q776" i="1"/>
  <c r="R776" i="1"/>
  <c r="T776" i="1"/>
  <c r="U776" i="1" s="1"/>
  <c r="W776" i="1"/>
  <c r="X776" i="1" s="1"/>
  <c r="P777" i="1"/>
  <c r="Q777" i="1"/>
  <c r="R777" i="1"/>
  <c r="T777" i="1"/>
  <c r="U777" i="1" s="1"/>
  <c r="W777" i="1"/>
  <c r="X777" i="1" s="1"/>
  <c r="P778" i="1"/>
  <c r="Q778" i="1"/>
  <c r="R778" i="1"/>
  <c r="T778" i="1"/>
  <c r="U778" i="1" s="1"/>
  <c r="W778" i="1"/>
  <c r="X778" i="1" s="1"/>
  <c r="P779" i="1"/>
  <c r="Q779" i="1"/>
  <c r="R779" i="1"/>
  <c r="T779" i="1"/>
  <c r="U779" i="1" s="1"/>
  <c r="W779" i="1"/>
  <c r="X779" i="1" s="1"/>
  <c r="P780" i="1"/>
  <c r="Q780" i="1"/>
  <c r="R780" i="1"/>
  <c r="T780" i="1"/>
  <c r="U780" i="1" s="1"/>
  <c r="W780" i="1"/>
  <c r="X780" i="1" s="1"/>
  <c r="L781" i="1"/>
  <c r="P781" i="1"/>
  <c r="Q781" i="1"/>
  <c r="R781" i="1"/>
  <c r="T781" i="1"/>
  <c r="U781" i="1" s="1"/>
  <c r="W781" i="1"/>
  <c r="X781" i="1" s="1"/>
  <c r="P782" i="1"/>
  <c r="Q782" i="1"/>
  <c r="R782" i="1"/>
  <c r="T782" i="1"/>
  <c r="U782" i="1" s="1"/>
  <c r="W782" i="1"/>
  <c r="X782" i="1" s="1"/>
  <c r="P783" i="1"/>
  <c r="Q783" i="1"/>
  <c r="R783" i="1"/>
  <c r="T783" i="1"/>
  <c r="U783" i="1" s="1"/>
  <c r="W783" i="1"/>
  <c r="X783" i="1" s="1"/>
  <c r="P784" i="1"/>
  <c r="Q784" i="1"/>
  <c r="R784" i="1"/>
  <c r="T784" i="1"/>
  <c r="U784" i="1" s="1"/>
  <c r="W784" i="1"/>
  <c r="X784" i="1" s="1"/>
  <c r="P785" i="1"/>
  <c r="Q785" i="1"/>
  <c r="R785" i="1"/>
  <c r="T785" i="1"/>
  <c r="U785" i="1" s="1"/>
  <c r="W785" i="1"/>
  <c r="X785" i="1" s="1"/>
  <c r="P786" i="1"/>
  <c r="Q786" i="1"/>
  <c r="R786" i="1"/>
  <c r="T786" i="1"/>
  <c r="U786" i="1" s="1"/>
  <c r="W786" i="1"/>
  <c r="X786" i="1" s="1"/>
  <c r="P787" i="1"/>
  <c r="Q787" i="1"/>
  <c r="R787" i="1"/>
  <c r="T787" i="1"/>
  <c r="U787" i="1" s="1"/>
  <c r="W787" i="1"/>
  <c r="X787" i="1" s="1"/>
  <c r="P788" i="1"/>
  <c r="Q788" i="1"/>
  <c r="R788" i="1"/>
  <c r="T788" i="1"/>
  <c r="U788" i="1" s="1"/>
  <c r="W788" i="1"/>
  <c r="X788" i="1" s="1"/>
  <c r="P789" i="1"/>
  <c r="Q789" i="1"/>
  <c r="R789" i="1"/>
  <c r="T789" i="1"/>
  <c r="U789" i="1" s="1"/>
  <c r="W789" i="1"/>
  <c r="X789" i="1" s="1"/>
  <c r="P790" i="1"/>
  <c r="Q790" i="1"/>
  <c r="R790" i="1"/>
  <c r="T790" i="1"/>
  <c r="U790" i="1" s="1"/>
  <c r="W790" i="1"/>
  <c r="X790" i="1" s="1"/>
  <c r="P791" i="1"/>
  <c r="Q791" i="1"/>
  <c r="R791" i="1"/>
  <c r="T791" i="1"/>
  <c r="U791" i="1" s="1"/>
  <c r="W791" i="1"/>
  <c r="X791" i="1" s="1"/>
  <c r="P792" i="1"/>
  <c r="Q792" i="1"/>
  <c r="R792" i="1"/>
  <c r="T792" i="1"/>
  <c r="U792" i="1" s="1"/>
  <c r="W792" i="1"/>
  <c r="X792" i="1" s="1"/>
  <c r="P793" i="1"/>
  <c r="Q793" i="1"/>
  <c r="R793" i="1"/>
  <c r="T793" i="1"/>
  <c r="U793" i="1" s="1"/>
  <c r="W793" i="1"/>
  <c r="X793" i="1" s="1"/>
  <c r="P794" i="1"/>
  <c r="Q794" i="1"/>
  <c r="R794" i="1"/>
  <c r="T794" i="1"/>
  <c r="U794" i="1" s="1"/>
  <c r="W794" i="1"/>
  <c r="X794" i="1" s="1"/>
  <c r="P795" i="1"/>
  <c r="Q795" i="1"/>
  <c r="R795" i="1"/>
  <c r="T795" i="1"/>
  <c r="U795" i="1" s="1"/>
  <c r="W795" i="1"/>
  <c r="X795" i="1" s="1"/>
  <c r="P796" i="1"/>
  <c r="Q796" i="1"/>
  <c r="R796" i="1"/>
  <c r="T796" i="1"/>
  <c r="U796" i="1" s="1"/>
  <c r="W796" i="1"/>
  <c r="X796" i="1" s="1"/>
  <c r="P797" i="1"/>
  <c r="Q797" i="1"/>
  <c r="R797" i="1"/>
  <c r="T797" i="1"/>
  <c r="U797" i="1" s="1"/>
  <c r="W797" i="1"/>
  <c r="X797" i="1" s="1"/>
  <c r="P798" i="1"/>
  <c r="Q798" i="1"/>
  <c r="R798" i="1"/>
  <c r="T798" i="1"/>
  <c r="U798" i="1" s="1"/>
  <c r="W798" i="1"/>
  <c r="X798" i="1" s="1"/>
  <c r="P799" i="1"/>
  <c r="Q799" i="1"/>
  <c r="R799" i="1"/>
  <c r="T799" i="1"/>
  <c r="U799" i="1" s="1"/>
  <c r="W799" i="1"/>
  <c r="X799" i="1" s="1"/>
  <c r="P800" i="1"/>
  <c r="Q800" i="1"/>
  <c r="R800" i="1"/>
  <c r="T800" i="1"/>
  <c r="U800" i="1" s="1"/>
  <c r="W800" i="1"/>
  <c r="X800" i="1" s="1"/>
  <c r="P801" i="1"/>
  <c r="Q801" i="1"/>
  <c r="R801" i="1"/>
  <c r="T801" i="1"/>
  <c r="U801" i="1" s="1"/>
  <c r="W801" i="1"/>
  <c r="X801" i="1" s="1"/>
  <c r="P802" i="1"/>
  <c r="Q802" i="1"/>
  <c r="R802" i="1"/>
  <c r="T802" i="1"/>
  <c r="U802" i="1" s="1"/>
  <c r="W802" i="1"/>
  <c r="X802" i="1" s="1"/>
  <c r="P803" i="1"/>
  <c r="Q803" i="1"/>
  <c r="R803" i="1"/>
  <c r="T803" i="1"/>
  <c r="U803" i="1" s="1"/>
  <c r="W803" i="1"/>
  <c r="X803" i="1" s="1"/>
  <c r="P804" i="1"/>
  <c r="Q804" i="1"/>
  <c r="R804" i="1"/>
  <c r="T804" i="1"/>
  <c r="U804" i="1" s="1"/>
  <c r="W804" i="1"/>
  <c r="X804" i="1" s="1"/>
  <c r="P805" i="1"/>
  <c r="Q805" i="1"/>
  <c r="R805" i="1"/>
  <c r="T805" i="1"/>
  <c r="U805" i="1" s="1"/>
  <c r="W805" i="1"/>
  <c r="X805" i="1" s="1"/>
  <c r="P806" i="1"/>
  <c r="Q806" i="1"/>
  <c r="R806" i="1"/>
  <c r="T806" i="1"/>
  <c r="U806" i="1" s="1"/>
  <c r="W806" i="1"/>
  <c r="X806" i="1" s="1"/>
  <c r="P807" i="1"/>
  <c r="Q807" i="1"/>
  <c r="R807" i="1"/>
  <c r="T807" i="1"/>
  <c r="U807" i="1" s="1"/>
  <c r="W807" i="1"/>
  <c r="X807" i="1" s="1"/>
  <c r="P808" i="1"/>
  <c r="Q808" i="1"/>
  <c r="R808" i="1"/>
  <c r="T808" i="1"/>
  <c r="U808" i="1" s="1"/>
  <c r="W808" i="1"/>
  <c r="X808" i="1" s="1"/>
  <c r="P809" i="1"/>
  <c r="Q809" i="1"/>
  <c r="R809" i="1"/>
  <c r="T809" i="1"/>
  <c r="U809" i="1" s="1"/>
  <c r="W809" i="1"/>
  <c r="X809" i="1" s="1"/>
  <c r="P810" i="1"/>
  <c r="Q810" i="1"/>
  <c r="R810" i="1"/>
  <c r="T810" i="1"/>
  <c r="U810" i="1" s="1"/>
  <c r="W810" i="1"/>
  <c r="X810" i="1" s="1"/>
  <c r="P811" i="1"/>
  <c r="Q811" i="1"/>
  <c r="R811" i="1"/>
  <c r="T811" i="1"/>
  <c r="U811" i="1" s="1"/>
  <c r="W811" i="1"/>
  <c r="X811" i="1" s="1"/>
  <c r="P812" i="1"/>
  <c r="Q812" i="1"/>
  <c r="R812" i="1"/>
  <c r="T812" i="1"/>
  <c r="U812" i="1" s="1"/>
  <c r="W812" i="1"/>
  <c r="X812" i="1" s="1"/>
  <c r="P813" i="1"/>
  <c r="Q813" i="1"/>
  <c r="R813" i="1"/>
  <c r="T813" i="1"/>
  <c r="U813" i="1" s="1"/>
  <c r="W813" i="1"/>
  <c r="X813" i="1" s="1"/>
  <c r="P814" i="1"/>
  <c r="Q814" i="1"/>
  <c r="R814" i="1"/>
  <c r="T814" i="1"/>
  <c r="U814" i="1" s="1"/>
  <c r="W814" i="1"/>
  <c r="X814" i="1" s="1"/>
  <c r="P815" i="1"/>
  <c r="Q815" i="1"/>
  <c r="R815" i="1"/>
  <c r="T815" i="1"/>
  <c r="U815" i="1" s="1"/>
  <c r="W815" i="1"/>
  <c r="X815" i="1" s="1"/>
  <c r="P816" i="1"/>
  <c r="Q816" i="1"/>
  <c r="R816" i="1"/>
  <c r="T816" i="1"/>
  <c r="U816" i="1" s="1"/>
  <c r="W816" i="1"/>
  <c r="X816" i="1" s="1"/>
  <c r="P817" i="1"/>
  <c r="Q817" i="1"/>
  <c r="R817" i="1"/>
  <c r="T817" i="1"/>
  <c r="U817" i="1" s="1"/>
  <c r="W817" i="1"/>
  <c r="X817" i="1" s="1"/>
  <c r="P818" i="1"/>
  <c r="Q818" i="1"/>
  <c r="R818" i="1"/>
  <c r="T818" i="1"/>
  <c r="U818" i="1" s="1"/>
  <c r="W818" i="1"/>
  <c r="X818" i="1" s="1"/>
  <c r="P819" i="1"/>
  <c r="Q819" i="1"/>
  <c r="R819" i="1"/>
  <c r="T819" i="1"/>
  <c r="U819" i="1" s="1"/>
  <c r="W819" i="1"/>
  <c r="X819" i="1" s="1"/>
  <c r="P820" i="1"/>
  <c r="Q820" i="1"/>
  <c r="R820" i="1"/>
  <c r="T820" i="1"/>
  <c r="U820" i="1" s="1"/>
  <c r="W820" i="1"/>
  <c r="X820" i="1" s="1"/>
  <c r="P821" i="1"/>
  <c r="Q821" i="1"/>
  <c r="R821" i="1"/>
  <c r="T821" i="1"/>
  <c r="U821" i="1" s="1"/>
  <c r="W821" i="1"/>
  <c r="X821" i="1" s="1"/>
  <c r="P822" i="1"/>
  <c r="Q822" i="1"/>
  <c r="R822" i="1"/>
  <c r="T822" i="1"/>
  <c r="U822" i="1" s="1"/>
  <c r="W822" i="1"/>
  <c r="X822" i="1" s="1"/>
  <c r="P823" i="1"/>
  <c r="Q823" i="1"/>
  <c r="R823" i="1"/>
  <c r="T823" i="1"/>
  <c r="U823" i="1" s="1"/>
  <c r="W823" i="1"/>
  <c r="X823" i="1" s="1"/>
  <c r="P824" i="1"/>
  <c r="Q824" i="1"/>
  <c r="R824" i="1"/>
  <c r="T824" i="1"/>
  <c r="U824" i="1" s="1"/>
  <c r="W824" i="1"/>
  <c r="X824" i="1" s="1"/>
  <c r="P825" i="1"/>
  <c r="Q825" i="1"/>
  <c r="R825" i="1"/>
  <c r="T825" i="1"/>
  <c r="U825" i="1" s="1"/>
  <c r="W825" i="1"/>
  <c r="X825" i="1" s="1"/>
  <c r="P826" i="1"/>
  <c r="Q826" i="1"/>
  <c r="R826" i="1"/>
  <c r="T826" i="1"/>
  <c r="U826" i="1" s="1"/>
  <c r="W826" i="1"/>
  <c r="X826" i="1" s="1"/>
  <c r="P827" i="1"/>
  <c r="Q827" i="1"/>
  <c r="R827" i="1"/>
  <c r="T827" i="1"/>
  <c r="U827" i="1" s="1"/>
  <c r="W827" i="1"/>
  <c r="X827" i="1" s="1"/>
  <c r="P828" i="1"/>
  <c r="Q828" i="1"/>
  <c r="R828" i="1"/>
  <c r="T828" i="1"/>
  <c r="U828" i="1" s="1"/>
  <c r="W828" i="1"/>
  <c r="X828" i="1" s="1"/>
  <c r="P829" i="1"/>
  <c r="Q829" i="1"/>
  <c r="R829" i="1"/>
  <c r="T829" i="1"/>
  <c r="U829" i="1" s="1"/>
  <c r="W829" i="1"/>
  <c r="X829" i="1" s="1"/>
  <c r="P830" i="1"/>
  <c r="Q830" i="1"/>
  <c r="R830" i="1"/>
  <c r="T830" i="1"/>
  <c r="U830" i="1" s="1"/>
  <c r="W830" i="1"/>
  <c r="X830" i="1" s="1"/>
  <c r="P831" i="1"/>
  <c r="Q831" i="1"/>
  <c r="R831" i="1"/>
  <c r="T831" i="1"/>
  <c r="U831" i="1" s="1"/>
  <c r="W831" i="1"/>
  <c r="X831" i="1" s="1"/>
  <c r="P832" i="1"/>
  <c r="Q832" i="1"/>
  <c r="R832" i="1"/>
  <c r="T832" i="1"/>
  <c r="U832" i="1" s="1"/>
  <c r="W832" i="1"/>
  <c r="X832" i="1" s="1"/>
  <c r="P833" i="1"/>
  <c r="Q833" i="1"/>
  <c r="R833" i="1"/>
  <c r="T833" i="1"/>
  <c r="U833" i="1" s="1"/>
  <c r="W833" i="1"/>
  <c r="X833" i="1" s="1"/>
  <c r="P834" i="1"/>
  <c r="Q834" i="1"/>
  <c r="R834" i="1"/>
  <c r="T834" i="1"/>
  <c r="U834" i="1" s="1"/>
  <c r="W834" i="1"/>
  <c r="X834" i="1" s="1"/>
  <c r="P835" i="1"/>
  <c r="Q835" i="1"/>
  <c r="R835" i="1"/>
  <c r="T835" i="1"/>
  <c r="U835" i="1" s="1"/>
  <c r="W835" i="1"/>
  <c r="X835" i="1" s="1"/>
  <c r="P836" i="1"/>
  <c r="Q836" i="1"/>
  <c r="R836" i="1"/>
  <c r="T836" i="1"/>
  <c r="U836" i="1" s="1"/>
  <c r="W836" i="1"/>
  <c r="X836" i="1" s="1"/>
  <c r="P837" i="1"/>
  <c r="Q837" i="1"/>
  <c r="R837" i="1"/>
  <c r="T837" i="1"/>
  <c r="U837" i="1" s="1"/>
  <c r="W837" i="1"/>
  <c r="X837" i="1" s="1"/>
  <c r="P838" i="1"/>
  <c r="Q838" i="1"/>
  <c r="R838" i="1"/>
  <c r="T838" i="1"/>
  <c r="U838" i="1" s="1"/>
  <c r="W838" i="1"/>
  <c r="X838" i="1" s="1"/>
  <c r="P839" i="1"/>
  <c r="Q839" i="1"/>
  <c r="R839" i="1"/>
  <c r="T839" i="1"/>
  <c r="U839" i="1" s="1"/>
  <c r="W839" i="1"/>
  <c r="X839" i="1" s="1"/>
  <c r="P840" i="1"/>
  <c r="Q840" i="1"/>
  <c r="R840" i="1"/>
  <c r="T840" i="1"/>
  <c r="U840" i="1" s="1"/>
  <c r="W840" i="1"/>
  <c r="X840" i="1" s="1"/>
  <c r="P841" i="1"/>
  <c r="Q841" i="1"/>
  <c r="R841" i="1"/>
  <c r="T841" i="1"/>
  <c r="U841" i="1" s="1"/>
  <c r="W841" i="1"/>
  <c r="X841" i="1" s="1"/>
  <c r="P842" i="1"/>
  <c r="Q842" i="1"/>
  <c r="R842" i="1"/>
  <c r="T842" i="1"/>
  <c r="U842" i="1" s="1"/>
  <c r="W842" i="1"/>
  <c r="X842" i="1" s="1"/>
  <c r="P843" i="1"/>
  <c r="Q843" i="1"/>
  <c r="R843" i="1"/>
  <c r="T843" i="1"/>
  <c r="U843" i="1" s="1"/>
  <c r="W843" i="1"/>
  <c r="X843" i="1" s="1"/>
  <c r="P844" i="1"/>
  <c r="Q844" i="1"/>
  <c r="R844" i="1"/>
  <c r="T844" i="1"/>
  <c r="U844" i="1" s="1"/>
  <c r="W844" i="1"/>
  <c r="X844" i="1" s="1"/>
  <c r="P845" i="1"/>
  <c r="Q845" i="1"/>
  <c r="R845" i="1"/>
  <c r="T845" i="1"/>
  <c r="U845" i="1" s="1"/>
  <c r="W845" i="1"/>
  <c r="X845" i="1" s="1"/>
  <c r="P846" i="1"/>
  <c r="Q846" i="1"/>
  <c r="R846" i="1"/>
  <c r="T846" i="1"/>
  <c r="U846" i="1" s="1"/>
  <c r="W846" i="1"/>
  <c r="X846" i="1" s="1"/>
  <c r="P847" i="1"/>
  <c r="Q847" i="1"/>
  <c r="R847" i="1"/>
  <c r="T847" i="1"/>
  <c r="U847" i="1" s="1"/>
  <c r="W847" i="1"/>
  <c r="X847" i="1" s="1"/>
  <c r="P848" i="1"/>
  <c r="Q848" i="1"/>
  <c r="R848" i="1"/>
  <c r="T848" i="1"/>
  <c r="U848" i="1" s="1"/>
  <c r="W848" i="1"/>
  <c r="X848" i="1" s="1"/>
  <c r="P849" i="1"/>
  <c r="Q849" i="1"/>
  <c r="R849" i="1"/>
  <c r="T849" i="1"/>
  <c r="U849" i="1" s="1"/>
  <c r="W849" i="1"/>
  <c r="X849" i="1" s="1"/>
  <c r="P850" i="1"/>
  <c r="Q850" i="1"/>
  <c r="R850" i="1"/>
  <c r="T850" i="1"/>
  <c r="U850" i="1" s="1"/>
  <c r="W850" i="1"/>
  <c r="X850" i="1" s="1"/>
  <c r="P851" i="1"/>
  <c r="Q851" i="1"/>
  <c r="R851" i="1"/>
  <c r="T851" i="1"/>
  <c r="U851" i="1" s="1"/>
  <c r="W851" i="1"/>
  <c r="X851" i="1" s="1"/>
  <c r="P852" i="1"/>
  <c r="Q852" i="1"/>
  <c r="R852" i="1"/>
  <c r="T852" i="1"/>
  <c r="U852" i="1" s="1"/>
  <c r="W852" i="1"/>
  <c r="X852" i="1" s="1"/>
  <c r="P853" i="1"/>
  <c r="Q853" i="1"/>
  <c r="R853" i="1"/>
  <c r="T853" i="1"/>
  <c r="U853" i="1" s="1"/>
  <c r="W853" i="1"/>
  <c r="X853" i="1" s="1"/>
  <c r="P854" i="1"/>
  <c r="Q854" i="1"/>
  <c r="R854" i="1"/>
  <c r="T854" i="1"/>
  <c r="U854" i="1" s="1"/>
  <c r="W854" i="1"/>
  <c r="X854" i="1" s="1"/>
  <c r="P855" i="1"/>
  <c r="Q855" i="1"/>
  <c r="R855" i="1"/>
  <c r="T855" i="1"/>
  <c r="U855" i="1" s="1"/>
  <c r="W855" i="1"/>
  <c r="X855" i="1" s="1"/>
  <c r="P856" i="1"/>
  <c r="Q856" i="1"/>
  <c r="R856" i="1"/>
  <c r="T856" i="1"/>
  <c r="U856" i="1" s="1"/>
  <c r="W856" i="1"/>
  <c r="X856" i="1" s="1"/>
  <c r="P857" i="1"/>
  <c r="Q857" i="1"/>
  <c r="R857" i="1"/>
  <c r="T857" i="1"/>
  <c r="U857" i="1" s="1"/>
  <c r="W857" i="1"/>
  <c r="X857" i="1" s="1"/>
  <c r="P858" i="1"/>
  <c r="Q858" i="1"/>
  <c r="R858" i="1"/>
  <c r="T858" i="1"/>
  <c r="U858" i="1" s="1"/>
  <c r="W858" i="1"/>
  <c r="X858" i="1" s="1"/>
  <c r="P859" i="1"/>
  <c r="Q859" i="1"/>
  <c r="R859" i="1"/>
  <c r="T859" i="1"/>
  <c r="U859" i="1" s="1"/>
  <c r="W859" i="1"/>
  <c r="X859" i="1" s="1"/>
  <c r="P860" i="1"/>
  <c r="Q860" i="1"/>
  <c r="R860" i="1"/>
  <c r="T860" i="1"/>
  <c r="U860" i="1" s="1"/>
  <c r="W860" i="1"/>
  <c r="X860" i="1" s="1"/>
  <c r="P861" i="1"/>
  <c r="Q861" i="1"/>
  <c r="R861" i="1"/>
  <c r="T861" i="1"/>
  <c r="U861" i="1" s="1"/>
  <c r="W861" i="1"/>
  <c r="X861" i="1" s="1"/>
  <c r="P862" i="1"/>
  <c r="Q862" i="1"/>
  <c r="R862" i="1"/>
  <c r="T862" i="1"/>
  <c r="U862" i="1" s="1"/>
  <c r="W862" i="1"/>
  <c r="X862" i="1" s="1"/>
  <c r="P863" i="1"/>
  <c r="Q863" i="1"/>
  <c r="R863" i="1"/>
  <c r="T863" i="1"/>
  <c r="U863" i="1" s="1"/>
  <c r="W863" i="1"/>
  <c r="X863" i="1" s="1"/>
  <c r="P864" i="1"/>
  <c r="Q864" i="1"/>
  <c r="R864" i="1"/>
  <c r="T864" i="1"/>
  <c r="U864" i="1" s="1"/>
  <c r="W864" i="1"/>
  <c r="X864" i="1" s="1"/>
  <c r="P865" i="1"/>
  <c r="Q865" i="1"/>
  <c r="R865" i="1"/>
  <c r="T865" i="1"/>
  <c r="U865" i="1" s="1"/>
  <c r="W865" i="1"/>
  <c r="X865" i="1" s="1"/>
  <c r="P866" i="1"/>
  <c r="Q866" i="1"/>
  <c r="R866" i="1"/>
  <c r="T866" i="1"/>
  <c r="U866" i="1" s="1"/>
  <c r="W866" i="1"/>
  <c r="X866" i="1" s="1"/>
  <c r="P867" i="1"/>
  <c r="Q867" i="1"/>
  <c r="R867" i="1"/>
  <c r="T867" i="1"/>
  <c r="U867" i="1" s="1"/>
  <c r="W867" i="1"/>
  <c r="X867" i="1" s="1"/>
  <c r="P868" i="1"/>
  <c r="Q868" i="1"/>
  <c r="R868" i="1"/>
  <c r="T868" i="1"/>
  <c r="U868" i="1" s="1"/>
  <c r="W868" i="1"/>
  <c r="X868" i="1" s="1"/>
  <c r="P869" i="1"/>
  <c r="Q869" i="1"/>
  <c r="R869" i="1"/>
  <c r="T869" i="1"/>
  <c r="U869" i="1" s="1"/>
  <c r="W869" i="1"/>
  <c r="X869" i="1" s="1"/>
  <c r="P870" i="1"/>
  <c r="Q870" i="1"/>
  <c r="R870" i="1"/>
  <c r="T870" i="1"/>
  <c r="U870" i="1" s="1"/>
  <c r="W870" i="1"/>
  <c r="X870" i="1" s="1"/>
  <c r="P871" i="1"/>
  <c r="Q871" i="1"/>
  <c r="R871" i="1"/>
  <c r="T871" i="1"/>
  <c r="U871" i="1" s="1"/>
  <c r="W871" i="1"/>
  <c r="X871" i="1" s="1"/>
  <c r="P872" i="1"/>
  <c r="Q872" i="1"/>
  <c r="R872" i="1"/>
  <c r="T872" i="1"/>
  <c r="U872" i="1" s="1"/>
  <c r="W872" i="1"/>
  <c r="X872" i="1" s="1"/>
  <c r="P873" i="1"/>
  <c r="Q873" i="1"/>
  <c r="R873" i="1"/>
  <c r="T873" i="1"/>
  <c r="U873" i="1" s="1"/>
  <c r="W873" i="1"/>
  <c r="X873" i="1" s="1"/>
  <c r="P874" i="1"/>
  <c r="Q874" i="1"/>
  <c r="R874" i="1"/>
  <c r="T874" i="1"/>
  <c r="U874" i="1" s="1"/>
  <c r="W874" i="1"/>
  <c r="X874" i="1" s="1"/>
  <c r="P875" i="1"/>
  <c r="Q875" i="1"/>
  <c r="R875" i="1"/>
  <c r="T875" i="1"/>
  <c r="U875" i="1" s="1"/>
  <c r="W875" i="1"/>
  <c r="X875" i="1" s="1"/>
  <c r="P876" i="1"/>
  <c r="Q876" i="1"/>
  <c r="R876" i="1"/>
  <c r="T876" i="1"/>
  <c r="U876" i="1" s="1"/>
  <c r="W876" i="1"/>
  <c r="X876" i="1" s="1"/>
  <c r="P877" i="1"/>
  <c r="Q877" i="1"/>
  <c r="R877" i="1"/>
  <c r="T877" i="1"/>
  <c r="U877" i="1" s="1"/>
  <c r="W877" i="1"/>
  <c r="X877" i="1" s="1"/>
  <c r="P878" i="1"/>
  <c r="Q878" i="1"/>
  <c r="R878" i="1"/>
  <c r="T878" i="1"/>
  <c r="U878" i="1" s="1"/>
  <c r="W878" i="1"/>
  <c r="X878" i="1" s="1"/>
  <c r="P879" i="1"/>
  <c r="Q879" i="1"/>
  <c r="R879" i="1"/>
  <c r="T879" i="1"/>
  <c r="U879" i="1" s="1"/>
  <c r="W879" i="1"/>
  <c r="X879" i="1" s="1"/>
  <c r="P880" i="1"/>
  <c r="Q880" i="1"/>
  <c r="R880" i="1"/>
  <c r="T880" i="1"/>
  <c r="U880" i="1" s="1"/>
  <c r="W880" i="1"/>
  <c r="X880" i="1" s="1"/>
  <c r="P881" i="1"/>
  <c r="Q881" i="1"/>
  <c r="R881" i="1"/>
  <c r="T881" i="1"/>
  <c r="U881" i="1" s="1"/>
  <c r="W881" i="1"/>
  <c r="X881" i="1" s="1"/>
  <c r="P882" i="1"/>
  <c r="Q882" i="1"/>
  <c r="R882" i="1"/>
  <c r="T882" i="1"/>
  <c r="U882" i="1" s="1"/>
  <c r="W882" i="1"/>
  <c r="X882" i="1" s="1"/>
  <c r="P883" i="1"/>
  <c r="Q883" i="1"/>
  <c r="R883" i="1"/>
  <c r="T883" i="1"/>
  <c r="U883" i="1" s="1"/>
  <c r="W883" i="1"/>
  <c r="X883" i="1" s="1"/>
  <c r="P884" i="1"/>
  <c r="Q884" i="1"/>
  <c r="R884" i="1"/>
  <c r="T884" i="1"/>
  <c r="U884" i="1" s="1"/>
  <c r="W884" i="1"/>
  <c r="X884" i="1" s="1"/>
  <c r="P885" i="1"/>
  <c r="Q885" i="1"/>
  <c r="R885" i="1"/>
  <c r="T885" i="1"/>
  <c r="U885" i="1" s="1"/>
  <c r="W885" i="1"/>
  <c r="X885" i="1" s="1"/>
  <c r="P886" i="1"/>
  <c r="Q886" i="1"/>
  <c r="R886" i="1"/>
  <c r="T886" i="1"/>
  <c r="U886" i="1" s="1"/>
  <c r="W886" i="1"/>
  <c r="X886" i="1" s="1"/>
  <c r="P887" i="1"/>
  <c r="Q887" i="1"/>
  <c r="R887" i="1"/>
  <c r="T887" i="1"/>
  <c r="U887" i="1" s="1"/>
  <c r="W887" i="1"/>
  <c r="X887" i="1" s="1"/>
  <c r="P888" i="1"/>
  <c r="Q888" i="1"/>
  <c r="R888" i="1"/>
  <c r="T888" i="1"/>
  <c r="U888" i="1" s="1"/>
  <c r="W888" i="1"/>
  <c r="X888" i="1" s="1"/>
  <c r="P889" i="1"/>
  <c r="Q889" i="1"/>
  <c r="R889" i="1"/>
  <c r="T889" i="1"/>
  <c r="U889" i="1" s="1"/>
  <c r="W889" i="1"/>
  <c r="X889" i="1" s="1"/>
  <c r="P890" i="1"/>
  <c r="Q890" i="1"/>
  <c r="R890" i="1"/>
  <c r="T890" i="1"/>
  <c r="U890" i="1" s="1"/>
  <c r="W890" i="1"/>
  <c r="X890" i="1" s="1"/>
  <c r="P891" i="1"/>
  <c r="Q891" i="1"/>
  <c r="R891" i="1"/>
  <c r="T891" i="1"/>
  <c r="U891" i="1" s="1"/>
  <c r="W891" i="1"/>
  <c r="X891" i="1" s="1"/>
  <c r="P892" i="1"/>
  <c r="Q892" i="1"/>
  <c r="R892" i="1"/>
  <c r="T892" i="1"/>
  <c r="U892" i="1" s="1"/>
  <c r="W892" i="1"/>
  <c r="X892" i="1" s="1"/>
  <c r="P893" i="1"/>
  <c r="Q893" i="1"/>
  <c r="R893" i="1"/>
  <c r="T893" i="1"/>
  <c r="U893" i="1" s="1"/>
  <c r="W893" i="1"/>
  <c r="X893" i="1" s="1"/>
  <c r="P894" i="1"/>
  <c r="Q894" i="1"/>
  <c r="R894" i="1"/>
  <c r="T894" i="1"/>
  <c r="U894" i="1" s="1"/>
  <c r="W894" i="1"/>
  <c r="X894" i="1" s="1"/>
  <c r="P895" i="1"/>
  <c r="Q895" i="1"/>
  <c r="R895" i="1"/>
  <c r="T895" i="1"/>
  <c r="U895" i="1" s="1"/>
  <c r="W895" i="1"/>
  <c r="X895" i="1" s="1"/>
  <c r="P896" i="1"/>
  <c r="Q896" i="1"/>
  <c r="R896" i="1"/>
  <c r="T896" i="1"/>
  <c r="U896" i="1" s="1"/>
  <c r="W896" i="1"/>
  <c r="X896" i="1" s="1"/>
  <c r="P897" i="1"/>
  <c r="Q897" i="1"/>
  <c r="R897" i="1"/>
  <c r="T897" i="1"/>
  <c r="U897" i="1" s="1"/>
  <c r="W897" i="1"/>
  <c r="X897" i="1" s="1"/>
  <c r="P898" i="1"/>
  <c r="Q898" i="1"/>
  <c r="R898" i="1"/>
  <c r="T898" i="1"/>
  <c r="U898" i="1" s="1"/>
  <c r="W898" i="1"/>
  <c r="X898" i="1" s="1"/>
  <c r="P899" i="1"/>
  <c r="Q899" i="1"/>
  <c r="R899" i="1"/>
  <c r="T899" i="1"/>
  <c r="U899" i="1" s="1"/>
  <c r="W899" i="1"/>
  <c r="X899" i="1" s="1"/>
  <c r="P900" i="1"/>
  <c r="Q900" i="1"/>
  <c r="R900" i="1"/>
  <c r="T900" i="1"/>
  <c r="U900" i="1" s="1"/>
  <c r="W900" i="1"/>
  <c r="X900" i="1" s="1"/>
  <c r="P901" i="1"/>
  <c r="Q901" i="1"/>
  <c r="R901" i="1"/>
  <c r="T901" i="1"/>
  <c r="U901" i="1" s="1"/>
  <c r="W901" i="1"/>
  <c r="X901" i="1" s="1"/>
  <c r="P902" i="1"/>
  <c r="Q902" i="1"/>
  <c r="R902" i="1"/>
  <c r="T902" i="1"/>
  <c r="U902" i="1" s="1"/>
  <c r="W902" i="1"/>
  <c r="X902" i="1" s="1"/>
  <c r="P903" i="1"/>
  <c r="Q903" i="1"/>
  <c r="R903" i="1"/>
  <c r="T903" i="1"/>
  <c r="U903" i="1" s="1"/>
  <c r="W903" i="1"/>
  <c r="X903" i="1" s="1"/>
  <c r="P904" i="1"/>
  <c r="Q904" i="1"/>
  <c r="R904" i="1"/>
  <c r="T904" i="1"/>
  <c r="U904" i="1" s="1"/>
  <c r="W904" i="1"/>
  <c r="X904" i="1" s="1"/>
  <c r="P905" i="1"/>
  <c r="Q905" i="1"/>
  <c r="R905" i="1"/>
  <c r="T905" i="1"/>
  <c r="U905" i="1" s="1"/>
  <c r="W905" i="1"/>
  <c r="X905" i="1" s="1"/>
  <c r="P906" i="1"/>
  <c r="Q906" i="1"/>
  <c r="R906" i="1"/>
  <c r="T906" i="1"/>
  <c r="U906" i="1" s="1"/>
  <c r="W906" i="1"/>
  <c r="X906" i="1" s="1"/>
  <c r="P907" i="1"/>
  <c r="Q907" i="1"/>
  <c r="R907" i="1"/>
  <c r="T907" i="1"/>
  <c r="U907" i="1" s="1"/>
  <c r="W907" i="1"/>
  <c r="X907" i="1" s="1"/>
  <c r="P908" i="1"/>
  <c r="Q908" i="1"/>
  <c r="R908" i="1"/>
  <c r="T908" i="1"/>
  <c r="U908" i="1" s="1"/>
  <c r="W908" i="1"/>
  <c r="X908" i="1" s="1"/>
  <c r="P909" i="1"/>
  <c r="Q909" i="1"/>
  <c r="R909" i="1"/>
  <c r="T909" i="1"/>
  <c r="U909" i="1" s="1"/>
  <c r="W909" i="1"/>
  <c r="X909" i="1" s="1"/>
  <c r="P910" i="1"/>
  <c r="Q910" i="1"/>
  <c r="R910" i="1"/>
  <c r="T910" i="1"/>
  <c r="U910" i="1" s="1"/>
  <c r="W910" i="1"/>
  <c r="X910" i="1" s="1"/>
  <c r="P911" i="1"/>
  <c r="Q911" i="1"/>
  <c r="R911" i="1"/>
  <c r="T911" i="1"/>
  <c r="U911" i="1" s="1"/>
  <c r="W911" i="1"/>
  <c r="X911" i="1" s="1"/>
  <c r="P912" i="1"/>
  <c r="Q912" i="1"/>
  <c r="R912" i="1"/>
  <c r="T912" i="1"/>
  <c r="U912" i="1" s="1"/>
  <c r="W912" i="1"/>
  <c r="X912" i="1" s="1"/>
  <c r="P913" i="1"/>
  <c r="Q913" i="1"/>
  <c r="R913" i="1"/>
  <c r="T913" i="1"/>
  <c r="U913" i="1" s="1"/>
  <c r="W913" i="1"/>
  <c r="X913" i="1" s="1"/>
  <c r="P914" i="1"/>
  <c r="Q914" i="1"/>
  <c r="R914" i="1"/>
  <c r="T914" i="1"/>
  <c r="U914" i="1" s="1"/>
  <c r="W914" i="1"/>
  <c r="X914" i="1" s="1"/>
  <c r="P915" i="1"/>
  <c r="Q915" i="1"/>
  <c r="R915" i="1"/>
  <c r="T915" i="1"/>
  <c r="U915" i="1" s="1"/>
  <c r="W915" i="1"/>
  <c r="X915" i="1" s="1"/>
  <c r="P916" i="1"/>
  <c r="Q916" i="1"/>
  <c r="R916" i="1"/>
  <c r="T916" i="1"/>
  <c r="U916" i="1" s="1"/>
  <c r="W916" i="1"/>
  <c r="X916" i="1" s="1"/>
  <c r="P917" i="1"/>
  <c r="Q917" i="1"/>
  <c r="R917" i="1"/>
  <c r="T917" i="1"/>
  <c r="U917" i="1" s="1"/>
  <c r="W917" i="1"/>
  <c r="X917" i="1" s="1"/>
  <c r="P918" i="1"/>
  <c r="Q918" i="1"/>
  <c r="R918" i="1"/>
  <c r="T918" i="1"/>
  <c r="U918" i="1" s="1"/>
  <c r="W918" i="1"/>
  <c r="X918" i="1" s="1"/>
  <c r="P919" i="1"/>
  <c r="Q919" i="1"/>
  <c r="R919" i="1"/>
  <c r="T919" i="1"/>
  <c r="U919" i="1" s="1"/>
  <c r="W919" i="1"/>
  <c r="X919" i="1" s="1"/>
  <c r="P920" i="1"/>
  <c r="Q920" i="1"/>
  <c r="R920" i="1"/>
  <c r="T920" i="1"/>
  <c r="U920" i="1" s="1"/>
  <c r="W920" i="1"/>
  <c r="X920" i="1" s="1"/>
  <c r="P921" i="1"/>
  <c r="Q921" i="1"/>
  <c r="R921" i="1"/>
  <c r="T921" i="1"/>
  <c r="U921" i="1" s="1"/>
  <c r="W921" i="1"/>
  <c r="X921" i="1" s="1"/>
  <c r="P922" i="1"/>
  <c r="Q922" i="1"/>
  <c r="R922" i="1"/>
  <c r="T922" i="1"/>
  <c r="U922" i="1" s="1"/>
  <c r="W922" i="1"/>
  <c r="X922" i="1" s="1"/>
  <c r="P923" i="1"/>
  <c r="Q923" i="1"/>
  <c r="R923" i="1"/>
  <c r="T923" i="1"/>
  <c r="U923" i="1" s="1"/>
  <c r="W923" i="1"/>
  <c r="X923" i="1" s="1"/>
  <c r="P924" i="1"/>
  <c r="Q924" i="1"/>
  <c r="R924" i="1"/>
  <c r="T924" i="1"/>
  <c r="U924" i="1" s="1"/>
  <c r="W924" i="1"/>
  <c r="X924" i="1" s="1"/>
  <c r="P925" i="1"/>
  <c r="Q925" i="1"/>
  <c r="R925" i="1"/>
  <c r="T925" i="1"/>
  <c r="U925" i="1" s="1"/>
  <c r="W925" i="1"/>
  <c r="X925" i="1" s="1"/>
  <c r="P926" i="1"/>
  <c r="Q926" i="1"/>
  <c r="R926" i="1"/>
  <c r="T926" i="1"/>
  <c r="U926" i="1" s="1"/>
  <c r="W926" i="1"/>
  <c r="X926" i="1" s="1"/>
  <c r="P927" i="1"/>
  <c r="Q927" i="1"/>
  <c r="R927" i="1"/>
  <c r="T927" i="1"/>
  <c r="U927" i="1" s="1"/>
  <c r="W927" i="1"/>
  <c r="X927" i="1" s="1"/>
  <c r="P928" i="1"/>
  <c r="Q928" i="1"/>
  <c r="R928" i="1"/>
  <c r="T928" i="1"/>
  <c r="U928" i="1" s="1"/>
  <c r="W928" i="1"/>
  <c r="X928" i="1" s="1"/>
  <c r="P929" i="1"/>
  <c r="Q929" i="1"/>
  <c r="R929" i="1"/>
  <c r="T929" i="1"/>
  <c r="U929" i="1" s="1"/>
  <c r="W929" i="1"/>
  <c r="X929" i="1" s="1"/>
  <c r="P930" i="1"/>
  <c r="Q930" i="1"/>
  <c r="R930" i="1"/>
  <c r="T930" i="1"/>
  <c r="U930" i="1" s="1"/>
  <c r="W930" i="1"/>
  <c r="X930" i="1" s="1"/>
  <c r="P931" i="1"/>
  <c r="Q931" i="1"/>
  <c r="R931" i="1"/>
  <c r="T931" i="1"/>
  <c r="U931" i="1" s="1"/>
  <c r="W931" i="1"/>
  <c r="X931" i="1" s="1"/>
  <c r="P932" i="1"/>
  <c r="Q932" i="1"/>
  <c r="R932" i="1"/>
  <c r="T932" i="1"/>
  <c r="U932" i="1" s="1"/>
  <c r="W932" i="1"/>
  <c r="X932" i="1" s="1"/>
  <c r="P933" i="1"/>
  <c r="Q933" i="1"/>
  <c r="R933" i="1"/>
  <c r="T933" i="1"/>
  <c r="U933" i="1" s="1"/>
  <c r="W933" i="1"/>
  <c r="X933" i="1" s="1"/>
  <c r="P934" i="1"/>
  <c r="Q934" i="1"/>
  <c r="R934" i="1"/>
  <c r="T934" i="1"/>
  <c r="U934" i="1" s="1"/>
  <c r="W934" i="1"/>
  <c r="X934" i="1" s="1"/>
  <c r="P935" i="1"/>
  <c r="Q935" i="1"/>
  <c r="R935" i="1"/>
  <c r="T935" i="1"/>
  <c r="U935" i="1" s="1"/>
  <c r="W935" i="1"/>
  <c r="X935" i="1" s="1"/>
  <c r="P936" i="1"/>
  <c r="Q936" i="1"/>
  <c r="R936" i="1"/>
  <c r="T936" i="1"/>
  <c r="U936" i="1" s="1"/>
  <c r="W936" i="1"/>
  <c r="X936" i="1" s="1"/>
  <c r="P937" i="1"/>
  <c r="Q937" i="1"/>
  <c r="R937" i="1"/>
  <c r="T937" i="1"/>
  <c r="U937" i="1" s="1"/>
  <c r="W937" i="1"/>
  <c r="X937" i="1" s="1"/>
  <c r="P938" i="1"/>
  <c r="Q938" i="1"/>
  <c r="R938" i="1"/>
  <c r="T938" i="1"/>
  <c r="U938" i="1" s="1"/>
  <c r="W938" i="1"/>
  <c r="X938" i="1" s="1"/>
  <c r="P939" i="1"/>
  <c r="Q939" i="1"/>
  <c r="R939" i="1"/>
  <c r="T939" i="1"/>
  <c r="U939" i="1" s="1"/>
  <c r="W939" i="1"/>
  <c r="X939" i="1" s="1"/>
  <c r="P940" i="1"/>
  <c r="Q940" i="1"/>
  <c r="R940" i="1"/>
  <c r="T940" i="1"/>
  <c r="U940" i="1" s="1"/>
  <c r="W940" i="1"/>
  <c r="X940" i="1" s="1"/>
  <c r="P941" i="1"/>
  <c r="Q941" i="1"/>
  <c r="R941" i="1"/>
  <c r="T941" i="1"/>
  <c r="U941" i="1" s="1"/>
  <c r="W941" i="1"/>
  <c r="X941" i="1" s="1"/>
  <c r="P942" i="1"/>
  <c r="Q942" i="1"/>
  <c r="R942" i="1"/>
  <c r="T942" i="1"/>
  <c r="U942" i="1" s="1"/>
  <c r="W942" i="1"/>
  <c r="X942" i="1" s="1"/>
  <c r="P943" i="1"/>
  <c r="Q943" i="1"/>
  <c r="R943" i="1"/>
  <c r="T943" i="1"/>
  <c r="U943" i="1" s="1"/>
  <c r="W943" i="1"/>
  <c r="X943" i="1" s="1"/>
  <c r="P944" i="1"/>
  <c r="Q944" i="1"/>
  <c r="R944" i="1"/>
  <c r="T944" i="1"/>
  <c r="U944" i="1" s="1"/>
  <c r="W944" i="1"/>
  <c r="X944" i="1" s="1"/>
  <c r="P945" i="1"/>
  <c r="Q945" i="1"/>
  <c r="R945" i="1"/>
  <c r="T945" i="1"/>
  <c r="U945" i="1" s="1"/>
  <c r="W945" i="1"/>
  <c r="X945" i="1" s="1"/>
  <c r="P946" i="1"/>
  <c r="Q946" i="1"/>
  <c r="R946" i="1"/>
  <c r="T946" i="1"/>
  <c r="U946" i="1" s="1"/>
  <c r="W946" i="1"/>
  <c r="X946" i="1" s="1"/>
  <c r="P947" i="1"/>
  <c r="Q947" i="1"/>
  <c r="R947" i="1"/>
  <c r="T947" i="1"/>
  <c r="U947" i="1" s="1"/>
  <c r="W947" i="1"/>
  <c r="X947" i="1" s="1"/>
  <c r="P948" i="1"/>
  <c r="Q948" i="1"/>
  <c r="R948" i="1"/>
  <c r="T948" i="1"/>
  <c r="U948" i="1" s="1"/>
  <c r="W948" i="1"/>
  <c r="X948" i="1" s="1"/>
  <c r="P949" i="1"/>
  <c r="Q949" i="1"/>
  <c r="R949" i="1"/>
  <c r="T949" i="1"/>
  <c r="U949" i="1" s="1"/>
  <c r="W949" i="1"/>
  <c r="X949" i="1" s="1"/>
  <c r="P950" i="1"/>
  <c r="Q950" i="1"/>
  <c r="R950" i="1"/>
  <c r="T950" i="1"/>
  <c r="U950" i="1" s="1"/>
  <c r="W950" i="1"/>
  <c r="X950" i="1" s="1"/>
  <c r="P951" i="1"/>
  <c r="Q951" i="1"/>
  <c r="R951" i="1"/>
  <c r="T951" i="1"/>
  <c r="U951" i="1" s="1"/>
  <c r="W951" i="1"/>
  <c r="X951" i="1" s="1"/>
  <c r="P952" i="1"/>
  <c r="Q952" i="1"/>
  <c r="R952" i="1"/>
  <c r="T952" i="1"/>
  <c r="U952" i="1" s="1"/>
  <c r="W952" i="1"/>
  <c r="X952" i="1" s="1"/>
  <c r="P953" i="1"/>
  <c r="Q953" i="1"/>
  <c r="R953" i="1"/>
  <c r="T953" i="1"/>
  <c r="U953" i="1" s="1"/>
  <c r="W953" i="1"/>
  <c r="X953" i="1" s="1"/>
  <c r="P954" i="1"/>
  <c r="Q954" i="1"/>
  <c r="R954" i="1"/>
  <c r="T954" i="1"/>
  <c r="U954" i="1" s="1"/>
  <c r="W954" i="1"/>
  <c r="X954" i="1" s="1"/>
  <c r="P955" i="1"/>
  <c r="Q955" i="1"/>
  <c r="R955" i="1"/>
  <c r="T955" i="1"/>
  <c r="U955" i="1" s="1"/>
  <c r="W955" i="1"/>
  <c r="X955" i="1" s="1"/>
  <c r="P956" i="1"/>
  <c r="Q956" i="1"/>
  <c r="R956" i="1"/>
  <c r="T956" i="1"/>
  <c r="U956" i="1" s="1"/>
  <c r="W956" i="1"/>
  <c r="X956" i="1" s="1"/>
  <c r="P957" i="1"/>
  <c r="Q957" i="1"/>
  <c r="R957" i="1"/>
  <c r="T957" i="1"/>
  <c r="U957" i="1" s="1"/>
  <c r="W957" i="1"/>
  <c r="X957" i="1" s="1"/>
  <c r="P958" i="1"/>
  <c r="Q958" i="1"/>
  <c r="R958" i="1"/>
  <c r="T958" i="1"/>
  <c r="U958" i="1" s="1"/>
  <c r="W958" i="1"/>
  <c r="X958" i="1" s="1"/>
  <c r="P959" i="1"/>
  <c r="Q959" i="1"/>
  <c r="R959" i="1"/>
  <c r="T959" i="1"/>
  <c r="U959" i="1" s="1"/>
  <c r="W959" i="1"/>
  <c r="X959" i="1" s="1"/>
  <c r="P960" i="1"/>
  <c r="Q960" i="1"/>
  <c r="R960" i="1"/>
  <c r="T960" i="1"/>
  <c r="U960" i="1" s="1"/>
  <c r="W960" i="1"/>
  <c r="X960" i="1" s="1"/>
  <c r="P961" i="1"/>
  <c r="Q961" i="1"/>
  <c r="R961" i="1"/>
  <c r="T961" i="1"/>
  <c r="U961" i="1" s="1"/>
  <c r="W961" i="1"/>
  <c r="X961" i="1" s="1"/>
  <c r="P962" i="1"/>
  <c r="Q962" i="1"/>
  <c r="R962" i="1"/>
  <c r="T962" i="1"/>
  <c r="U962" i="1" s="1"/>
  <c r="W962" i="1"/>
  <c r="X962" i="1" s="1"/>
  <c r="P963" i="1"/>
  <c r="Q963" i="1"/>
  <c r="R963" i="1"/>
  <c r="T963" i="1"/>
  <c r="U963" i="1" s="1"/>
  <c r="W963" i="1"/>
  <c r="X963" i="1" s="1"/>
  <c r="P964" i="1"/>
  <c r="Q964" i="1"/>
  <c r="R964" i="1"/>
  <c r="T964" i="1"/>
  <c r="U964" i="1" s="1"/>
  <c r="W964" i="1"/>
  <c r="X964" i="1" s="1"/>
  <c r="P965" i="1"/>
  <c r="Q965" i="1"/>
  <c r="R965" i="1"/>
  <c r="T965" i="1"/>
  <c r="U965" i="1" s="1"/>
  <c r="W965" i="1"/>
  <c r="X965" i="1" s="1"/>
  <c r="P966" i="1"/>
  <c r="Q966" i="1"/>
  <c r="R966" i="1"/>
  <c r="T966" i="1"/>
  <c r="U966" i="1" s="1"/>
  <c r="W966" i="1"/>
  <c r="X966" i="1" s="1"/>
  <c r="P967" i="1"/>
  <c r="Q967" i="1"/>
  <c r="R967" i="1"/>
  <c r="T967" i="1"/>
  <c r="U967" i="1" s="1"/>
  <c r="W967" i="1"/>
  <c r="X967" i="1" s="1"/>
  <c r="P968" i="1"/>
  <c r="Q968" i="1"/>
  <c r="R968" i="1"/>
  <c r="T968" i="1"/>
  <c r="U968" i="1" s="1"/>
  <c r="W968" i="1"/>
  <c r="X968" i="1" s="1"/>
  <c r="P969" i="1"/>
  <c r="Q969" i="1"/>
  <c r="R969" i="1"/>
  <c r="T969" i="1"/>
  <c r="U969" i="1" s="1"/>
  <c r="W969" i="1"/>
  <c r="X969" i="1" s="1"/>
  <c r="P970" i="1"/>
  <c r="Q970" i="1"/>
  <c r="R970" i="1"/>
  <c r="T970" i="1"/>
  <c r="U970" i="1" s="1"/>
  <c r="W970" i="1"/>
  <c r="X970" i="1" s="1"/>
  <c r="P971" i="1"/>
  <c r="Q971" i="1"/>
  <c r="R971" i="1"/>
  <c r="T971" i="1"/>
  <c r="U971" i="1" s="1"/>
  <c r="W971" i="1"/>
  <c r="X971" i="1" s="1"/>
  <c r="P972" i="1"/>
  <c r="Q972" i="1"/>
  <c r="R972" i="1"/>
  <c r="T972" i="1"/>
  <c r="U972" i="1" s="1"/>
  <c r="W972" i="1"/>
  <c r="X972" i="1" s="1"/>
  <c r="P973" i="1"/>
  <c r="Q973" i="1"/>
  <c r="R973" i="1"/>
  <c r="T973" i="1"/>
  <c r="U973" i="1" s="1"/>
  <c r="W973" i="1"/>
  <c r="X973" i="1" s="1"/>
  <c r="P974" i="1"/>
  <c r="Q974" i="1"/>
  <c r="R974" i="1"/>
  <c r="T974" i="1"/>
  <c r="U974" i="1" s="1"/>
  <c r="W974" i="1"/>
  <c r="X974" i="1" s="1"/>
  <c r="P975" i="1"/>
  <c r="Q975" i="1"/>
  <c r="R975" i="1"/>
  <c r="T975" i="1"/>
  <c r="U975" i="1" s="1"/>
  <c r="W975" i="1"/>
  <c r="X975" i="1" s="1"/>
  <c r="P976" i="1"/>
  <c r="Q976" i="1"/>
  <c r="R976" i="1"/>
  <c r="T976" i="1"/>
  <c r="U976" i="1" s="1"/>
  <c r="W976" i="1"/>
  <c r="X976" i="1" s="1"/>
  <c r="P977" i="1"/>
  <c r="Q977" i="1"/>
  <c r="R977" i="1"/>
  <c r="T977" i="1"/>
  <c r="U977" i="1" s="1"/>
  <c r="W977" i="1"/>
  <c r="X977" i="1" s="1"/>
  <c r="P978" i="1"/>
  <c r="Q978" i="1"/>
  <c r="R978" i="1"/>
  <c r="T978" i="1"/>
  <c r="U978" i="1" s="1"/>
  <c r="W978" i="1"/>
  <c r="X978" i="1" s="1"/>
  <c r="P979" i="1"/>
  <c r="Q979" i="1"/>
  <c r="R979" i="1"/>
  <c r="T979" i="1"/>
  <c r="U979" i="1" s="1"/>
  <c r="W979" i="1"/>
  <c r="X979" i="1" s="1"/>
  <c r="P980" i="1"/>
  <c r="Q980" i="1"/>
  <c r="R980" i="1"/>
  <c r="T980" i="1"/>
  <c r="U980" i="1" s="1"/>
  <c r="W980" i="1"/>
  <c r="X980" i="1" s="1"/>
  <c r="P981" i="1"/>
  <c r="Q981" i="1"/>
  <c r="R981" i="1"/>
  <c r="T981" i="1"/>
  <c r="U981" i="1" s="1"/>
  <c r="W981" i="1"/>
  <c r="X981" i="1" s="1"/>
  <c r="P982" i="1"/>
  <c r="Q982" i="1"/>
  <c r="R982" i="1"/>
  <c r="T982" i="1"/>
  <c r="U982" i="1" s="1"/>
  <c r="W982" i="1"/>
  <c r="X982" i="1" s="1"/>
  <c r="P983" i="1"/>
  <c r="Q983" i="1"/>
  <c r="R983" i="1"/>
  <c r="T983" i="1"/>
  <c r="U983" i="1" s="1"/>
  <c r="W983" i="1"/>
  <c r="X983" i="1" s="1"/>
  <c r="P984" i="1"/>
  <c r="Q984" i="1"/>
  <c r="R984" i="1"/>
  <c r="T984" i="1"/>
  <c r="U984" i="1" s="1"/>
  <c r="W984" i="1"/>
  <c r="X984" i="1" s="1"/>
  <c r="P985" i="1"/>
  <c r="Q985" i="1"/>
  <c r="R985" i="1"/>
  <c r="T985" i="1"/>
  <c r="U985" i="1" s="1"/>
  <c r="W985" i="1"/>
  <c r="X985" i="1" s="1"/>
  <c r="P986" i="1"/>
  <c r="Q986" i="1"/>
  <c r="R986" i="1"/>
  <c r="T986" i="1"/>
  <c r="U986" i="1" s="1"/>
  <c r="W986" i="1"/>
  <c r="X986" i="1" s="1"/>
  <c r="P987" i="1"/>
  <c r="Q987" i="1"/>
  <c r="R987" i="1"/>
  <c r="T987" i="1"/>
  <c r="U987" i="1" s="1"/>
  <c r="W987" i="1"/>
  <c r="X987" i="1" s="1"/>
  <c r="P988" i="1"/>
  <c r="Q988" i="1"/>
  <c r="R988" i="1"/>
  <c r="T988" i="1"/>
  <c r="U988" i="1" s="1"/>
  <c r="W988" i="1"/>
  <c r="X988" i="1" s="1"/>
  <c r="P989" i="1"/>
  <c r="Q989" i="1"/>
  <c r="R989" i="1"/>
  <c r="T989" i="1"/>
  <c r="U989" i="1" s="1"/>
  <c r="W989" i="1"/>
  <c r="X989" i="1" s="1"/>
  <c r="P990" i="1"/>
  <c r="Q990" i="1"/>
  <c r="R990" i="1"/>
  <c r="T990" i="1"/>
  <c r="U990" i="1" s="1"/>
  <c r="W990" i="1"/>
  <c r="X990" i="1" s="1"/>
  <c r="P991" i="1"/>
  <c r="Q991" i="1"/>
  <c r="R991" i="1"/>
  <c r="T991" i="1"/>
  <c r="U991" i="1" s="1"/>
  <c r="W991" i="1"/>
  <c r="X991" i="1" s="1"/>
  <c r="P992" i="1"/>
  <c r="Q992" i="1"/>
  <c r="R992" i="1"/>
  <c r="T992" i="1"/>
  <c r="U992" i="1" s="1"/>
  <c r="W992" i="1"/>
  <c r="X992" i="1" s="1"/>
  <c r="P993" i="1"/>
  <c r="Q993" i="1"/>
  <c r="R993" i="1"/>
  <c r="T993" i="1"/>
  <c r="U993" i="1" s="1"/>
  <c r="W993" i="1"/>
  <c r="X993" i="1" s="1"/>
  <c r="P994" i="1"/>
  <c r="Q994" i="1"/>
  <c r="R994" i="1"/>
  <c r="T994" i="1"/>
  <c r="U994" i="1" s="1"/>
  <c r="W994" i="1"/>
  <c r="X994" i="1" s="1"/>
  <c r="P995" i="1"/>
  <c r="Q995" i="1"/>
  <c r="R995" i="1"/>
  <c r="T995" i="1"/>
  <c r="U995" i="1" s="1"/>
  <c r="W995" i="1"/>
  <c r="X995" i="1" s="1"/>
  <c r="P996" i="1"/>
  <c r="Q996" i="1"/>
  <c r="R996" i="1"/>
  <c r="T996" i="1"/>
  <c r="U996" i="1" s="1"/>
  <c r="W996" i="1"/>
  <c r="X996" i="1" s="1"/>
  <c r="L997" i="1"/>
  <c r="P997" i="1"/>
  <c r="Q997" i="1"/>
  <c r="R997" i="1"/>
  <c r="T997" i="1"/>
  <c r="U997" i="1" s="1"/>
  <c r="W997" i="1"/>
  <c r="X997" i="1" s="1"/>
  <c r="P998" i="1"/>
  <c r="Q998" i="1"/>
  <c r="R998" i="1"/>
  <c r="T998" i="1"/>
  <c r="U998" i="1" s="1"/>
  <c r="W998" i="1"/>
  <c r="X998" i="1" s="1"/>
  <c r="P999" i="1"/>
  <c r="Q999" i="1"/>
  <c r="R999" i="1"/>
  <c r="T999" i="1"/>
  <c r="U999" i="1" s="1"/>
  <c r="W999" i="1"/>
  <c r="X999" i="1" s="1"/>
  <c r="P1000" i="1"/>
  <c r="Q1000" i="1"/>
  <c r="R1000" i="1"/>
  <c r="T1000" i="1"/>
  <c r="U1000" i="1" s="1"/>
  <c r="W1000" i="1"/>
  <c r="X1000" i="1" s="1"/>
  <c r="P1001" i="1"/>
  <c r="Q1001" i="1"/>
  <c r="R1001" i="1"/>
  <c r="T1001" i="1"/>
  <c r="U1001" i="1" s="1"/>
  <c r="W1001" i="1"/>
  <c r="X1001" i="1" s="1"/>
  <c r="P1002" i="1"/>
  <c r="Q1002" i="1"/>
  <c r="R1002" i="1"/>
  <c r="T1002" i="1"/>
  <c r="U1002" i="1" s="1"/>
  <c r="W1002" i="1"/>
  <c r="X1002" i="1" s="1"/>
  <c r="P1003" i="1"/>
  <c r="Q1003" i="1"/>
  <c r="R1003" i="1"/>
  <c r="T1003" i="1"/>
  <c r="U1003" i="1" s="1"/>
  <c r="W1003" i="1"/>
  <c r="X1003" i="1" s="1"/>
  <c r="P1004" i="1"/>
  <c r="Q1004" i="1"/>
  <c r="R1004" i="1"/>
  <c r="T1004" i="1"/>
  <c r="U1004" i="1" s="1"/>
  <c r="W1004" i="1"/>
  <c r="X1004" i="1" s="1"/>
  <c r="P1005" i="1"/>
  <c r="Q1005" i="1"/>
  <c r="R1005" i="1"/>
  <c r="T1005" i="1"/>
  <c r="U1005" i="1" s="1"/>
  <c r="W1005" i="1"/>
  <c r="X1005" i="1" s="1"/>
  <c r="P1006" i="1"/>
  <c r="Q1006" i="1"/>
  <c r="R1006" i="1"/>
  <c r="T1006" i="1"/>
  <c r="U1006" i="1" s="1"/>
  <c r="W1006" i="1"/>
  <c r="X1006" i="1" s="1"/>
  <c r="P1007" i="1"/>
  <c r="Q1007" i="1"/>
  <c r="R1007" i="1"/>
  <c r="T1007" i="1"/>
  <c r="U1007" i="1" s="1"/>
  <c r="W1007" i="1"/>
  <c r="X1007" i="1" s="1"/>
  <c r="P1008" i="1"/>
  <c r="Q1008" i="1"/>
  <c r="R1008" i="1"/>
  <c r="T1008" i="1"/>
  <c r="U1008" i="1" s="1"/>
  <c r="W1008" i="1"/>
  <c r="X1008" i="1" s="1"/>
  <c r="P1009" i="1"/>
  <c r="Q1009" i="1"/>
  <c r="R1009" i="1"/>
  <c r="T1009" i="1"/>
  <c r="U1009" i="1" s="1"/>
  <c r="W1009" i="1"/>
  <c r="X1009" i="1" s="1"/>
  <c r="P1010" i="1"/>
  <c r="Q1010" i="1"/>
  <c r="R1010" i="1"/>
  <c r="T1010" i="1"/>
  <c r="U1010" i="1" s="1"/>
  <c r="W1010" i="1"/>
  <c r="X1010" i="1" s="1"/>
  <c r="P1011" i="1"/>
  <c r="Q1011" i="1"/>
  <c r="R1011" i="1"/>
  <c r="T1011" i="1"/>
  <c r="U1011" i="1" s="1"/>
  <c r="W1011" i="1"/>
  <c r="X1011" i="1" s="1"/>
  <c r="P1012" i="1"/>
  <c r="Q1012" i="1"/>
  <c r="R1012" i="1"/>
  <c r="T1012" i="1"/>
  <c r="U1012" i="1" s="1"/>
  <c r="W1012" i="1"/>
  <c r="X1012" i="1" s="1"/>
  <c r="P1013" i="1"/>
  <c r="Q1013" i="1"/>
  <c r="R1013" i="1"/>
  <c r="T1013" i="1"/>
  <c r="U1013" i="1" s="1"/>
  <c r="W1013" i="1"/>
  <c r="X1013" i="1" s="1"/>
  <c r="P1014" i="1"/>
  <c r="Q1014" i="1"/>
  <c r="R1014" i="1"/>
  <c r="T1014" i="1"/>
  <c r="U1014" i="1" s="1"/>
  <c r="W1014" i="1"/>
  <c r="X1014" i="1" s="1"/>
  <c r="P1015" i="1"/>
  <c r="Q1015" i="1"/>
  <c r="R1015" i="1"/>
  <c r="T1015" i="1"/>
  <c r="U1015" i="1" s="1"/>
  <c r="W1015" i="1"/>
  <c r="X1015" i="1" s="1"/>
  <c r="P1016" i="1"/>
  <c r="Q1016" i="1"/>
  <c r="R1016" i="1"/>
  <c r="T1016" i="1"/>
  <c r="U1016" i="1" s="1"/>
  <c r="W1016" i="1"/>
  <c r="X1016" i="1" s="1"/>
  <c r="P1017" i="1"/>
  <c r="Q1017" i="1"/>
  <c r="R1017" i="1"/>
  <c r="T1017" i="1"/>
  <c r="U1017" i="1" s="1"/>
  <c r="W1017" i="1"/>
  <c r="X1017" i="1" s="1"/>
  <c r="P1018" i="1"/>
  <c r="Q1018" i="1"/>
  <c r="R1018" i="1"/>
  <c r="T1018" i="1"/>
  <c r="U1018" i="1" s="1"/>
  <c r="W1018" i="1"/>
  <c r="X1018" i="1" s="1"/>
  <c r="P1019" i="1"/>
  <c r="Q1019" i="1"/>
  <c r="R1019" i="1"/>
  <c r="T1019" i="1"/>
  <c r="U1019" i="1" s="1"/>
  <c r="W1019" i="1"/>
  <c r="X1019" i="1" s="1"/>
  <c r="P1020" i="1"/>
  <c r="Q1020" i="1"/>
  <c r="R1020" i="1"/>
  <c r="T1020" i="1"/>
  <c r="U1020" i="1" s="1"/>
  <c r="W1020" i="1"/>
  <c r="X1020" i="1" s="1"/>
  <c r="P1021" i="1"/>
  <c r="Q1021" i="1"/>
  <c r="R1021" i="1"/>
  <c r="T1021" i="1"/>
  <c r="U1021" i="1" s="1"/>
  <c r="W1021" i="1"/>
  <c r="X1021" i="1" s="1"/>
  <c r="P1022" i="1"/>
  <c r="Q1022" i="1"/>
  <c r="R1022" i="1"/>
  <c r="T1022" i="1"/>
  <c r="U1022" i="1" s="1"/>
  <c r="W1022" i="1"/>
  <c r="X1022" i="1" s="1"/>
  <c r="P1023" i="1"/>
  <c r="Q1023" i="1"/>
  <c r="R1023" i="1"/>
  <c r="T1023" i="1"/>
  <c r="U1023" i="1" s="1"/>
  <c r="W1023" i="1"/>
  <c r="X1023" i="1" s="1"/>
  <c r="P1024" i="1"/>
  <c r="Q1024" i="1"/>
  <c r="R1024" i="1"/>
  <c r="T1024" i="1"/>
  <c r="U1024" i="1" s="1"/>
  <c r="W1024" i="1"/>
  <c r="X1024" i="1" s="1"/>
  <c r="P1025" i="1"/>
  <c r="Q1025" i="1"/>
  <c r="R1025" i="1"/>
  <c r="T1025" i="1"/>
  <c r="U1025" i="1" s="1"/>
  <c r="W1025" i="1"/>
  <c r="X1025" i="1" s="1"/>
  <c r="P1026" i="1"/>
  <c r="Q1026" i="1"/>
  <c r="R1026" i="1"/>
  <c r="T1026" i="1"/>
  <c r="U1026" i="1" s="1"/>
  <c r="W1026" i="1"/>
  <c r="X1026" i="1" s="1"/>
  <c r="P1027" i="1"/>
  <c r="Q1027" i="1"/>
  <c r="R1027" i="1"/>
  <c r="T1027" i="1"/>
  <c r="U1027" i="1" s="1"/>
  <c r="W1027" i="1"/>
  <c r="X1027" i="1" s="1"/>
  <c r="P1028" i="1"/>
  <c r="Q1028" i="1"/>
  <c r="R1028" i="1"/>
  <c r="T1028" i="1"/>
  <c r="U1028" i="1" s="1"/>
  <c r="W1028" i="1"/>
  <c r="X1028" i="1" s="1"/>
  <c r="P1029" i="1"/>
  <c r="Q1029" i="1"/>
  <c r="R1029" i="1"/>
  <c r="T1029" i="1"/>
  <c r="U1029" i="1" s="1"/>
  <c r="W1029" i="1"/>
  <c r="X1029" i="1" s="1"/>
  <c r="P1030" i="1"/>
  <c r="Q1030" i="1"/>
  <c r="R1030" i="1"/>
  <c r="T1030" i="1"/>
  <c r="U1030" i="1" s="1"/>
  <c r="W1030" i="1"/>
  <c r="X1030" i="1" s="1"/>
  <c r="P1031" i="1"/>
  <c r="Q1031" i="1"/>
  <c r="R1031" i="1"/>
  <c r="T1031" i="1"/>
  <c r="U1031" i="1" s="1"/>
  <c r="W1031" i="1"/>
  <c r="X1031" i="1" s="1"/>
  <c r="P1032" i="1"/>
  <c r="Q1032" i="1"/>
  <c r="R1032" i="1"/>
  <c r="T1032" i="1"/>
  <c r="U1032" i="1" s="1"/>
  <c r="W1032" i="1"/>
  <c r="X1032" i="1" s="1"/>
  <c r="P1033" i="1"/>
  <c r="Q1033" i="1"/>
  <c r="R1033" i="1"/>
  <c r="T1033" i="1"/>
  <c r="U1033" i="1" s="1"/>
  <c r="W1033" i="1"/>
  <c r="X1033" i="1" s="1"/>
  <c r="P1034" i="1"/>
  <c r="Q1034" i="1"/>
  <c r="R1034" i="1"/>
  <c r="T1034" i="1"/>
  <c r="U1034" i="1" s="1"/>
  <c r="W1034" i="1"/>
  <c r="X1034" i="1" s="1"/>
  <c r="P1035" i="1"/>
  <c r="Q1035" i="1"/>
  <c r="R1035" i="1"/>
  <c r="T1035" i="1"/>
  <c r="U1035" i="1" s="1"/>
  <c r="W1035" i="1"/>
  <c r="X1035" i="1" s="1"/>
  <c r="P1036" i="1"/>
  <c r="Q1036" i="1"/>
  <c r="R1036" i="1"/>
  <c r="T1036" i="1"/>
  <c r="U1036" i="1" s="1"/>
  <c r="W1036" i="1"/>
  <c r="X1036" i="1" s="1"/>
  <c r="P1037" i="1"/>
  <c r="Q1037" i="1"/>
  <c r="R1037" i="1"/>
  <c r="T1037" i="1"/>
  <c r="U1037" i="1" s="1"/>
  <c r="W1037" i="1"/>
  <c r="X1037" i="1" s="1"/>
  <c r="T1038" i="1"/>
  <c r="U1038" i="1" s="1"/>
  <c r="W1038" i="1"/>
  <c r="X1038" i="1" s="1"/>
  <c r="Z1038" i="1"/>
  <c r="P1039" i="1"/>
  <c r="Q1039" i="1"/>
  <c r="R1039" i="1"/>
  <c r="T1039" i="1"/>
  <c r="U1039" i="1" s="1"/>
  <c r="W1039" i="1"/>
  <c r="X1039" i="1" s="1"/>
  <c r="P1040" i="1"/>
  <c r="Q1040" i="1"/>
  <c r="R1040" i="1"/>
  <c r="T1040" i="1"/>
  <c r="U1040" i="1" s="1"/>
  <c r="W1040" i="1"/>
  <c r="X1040" i="1" s="1"/>
  <c r="P1041" i="1"/>
  <c r="Q1041" i="1"/>
  <c r="R1041" i="1"/>
  <c r="T1041" i="1"/>
  <c r="U1041" i="1" s="1"/>
  <c r="W1041" i="1"/>
  <c r="X1041" i="1" s="1"/>
  <c r="P1042" i="1"/>
  <c r="Q1042" i="1"/>
  <c r="R1042" i="1"/>
  <c r="T1042" i="1"/>
  <c r="U1042" i="1" s="1"/>
  <c r="W1042" i="1"/>
  <c r="X1042" i="1" s="1"/>
  <c r="P1043" i="1"/>
  <c r="Q1043" i="1"/>
  <c r="R1043" i="1"/>
  <c r="T1043" i="1"/>
  <c r="U1043" i="1" s="1"/>
  <c r="W1043" i="1"/>
  <c r="X1043" i="1" s="1"/>
  <c r="P1044" i="1"/>
  <c r="Q1044" i="1"/>
  <c r="R1044" i="1"/>
  <c r="T1044" i="1"/>
  <c r="U1044" i="1" s="1"/>
  <c r="W1044" i="1"/>
  <c r="X1044" i="1" s="1"/>
  <c r="P1045" i="1"/>
  <c r="Q1045" i="1"/>
  <c r="R1045" i="1"/>
  <c r="T1045" i="1"/>
  <c r="U1045" i="1" s="1"/>
  <c r="W1045" i="1"/>
  <c r="X1045" i="1" s="1"/>
  <c r="P1046" i="1"/>
  <c r="Q1046" i="1"/>
  <c r="R1046" i="1"/>
  <c r="T1046" i="1"/>
  <c r="U1046" i="1" s="1"/>
  <c r="W1046" i="1"/>
  <c r="X1046" i="1" s="1"/>
  <c r="P1047" i="1"/>
  <c r="Q1047" i="1"/>
  <c r="R1047" i="1"/>
  <c r="T1047" i="1"/>
  <c r="U1047" i="1" s="1"/>
  <c r="W1047" i="1"/>
  <c r="X1047" i="1" s="1"/>
  <c r="P1048" i="1"/>
  <c r="Q1048" i="1"/>
  <c r="R1048" i="1"/>
  <c r="T1048" i="1"/>
  <c r="U1048" i="1" s="1"/>
  <c r="W1048" i="1"/>
  <c r="X1048" i="1" s="1"/>
  <c r="P1049" i="1"/>
  <c r="Q1049" i="1"/>
  <c r="R1049" i="1"/>
  <c r="T1049" i="1"/>
  <c r="U1049" i="1" s="1"/>
  <c r="W1049" i="1"/>
  <c r="X1049" i="1" s="1"/>
  <c r="P1050" i="1"/>
  <c r="Q1050" i="1"/>
  <c r="R1050" i="1"/>
  <c r="T1050" i="1"/>
  <c r="U1050" i="1" s="1"/>
  <c r="W1050" i="1"/>
  <c r="X1050" i="1" s="1"/>
  <c r="P1051" i="1"/>
  <c r="Q1051" i="1"/>
  <c r="R1051" i="1"/>
  <c r="T1051" i="1"/>
  <c r="U1051" i="1" s="1"/>
  <c r="W1051" i="1"/>
  <c r="X1051" i="1" s="1"/>
  <c r="P1052" i="1"/>
  <c r="Q1052" i="1"/>
  <c r="R1052" i="1"/>
  <c r="T1052" i="1"/>
  <c r="U1052" i="1" s="1"/>
  <c r="W1052" i="1"/>
  <c r="X1052" i="1" s="1"/>
  <c r="P1053" i="1"/>
  <c r="Q1053" i="1"/>
  <c r="R1053" i="1"/>
  <c r="T1053" i="1"/>
  <c r="U1053" i="1" s="1"/>
  <c r="W1053" i="1"/>
  <c r="X1053" i="1" s="1"/>
  <c r="P1054" i="1"/>
  <c r="Q1054" i="1"/>
  <c r="R1054" i="1"/>
  <c r="T1054" i="1"/>
  <c r="U1054" i="1" s="1"/>
  <c r="W1054" i="1"/>
  <c r="X1054" i="1" s="1"/>
  <c r="P1055" i="1"/>
  <c r="Q1055" i="1"/>
  <c r="R1055" i="1"/>
  <c r="T1055" i="1"/>
  <c r="U1055" i="1" s="1"/>
  <c r="W1055" i="1"/>
  <c r="X1055" i="1" s="1"/>
  <c r="P1056" i="1"/>
  <c r="Q1056" i="1"/>
  <c r="R1056" i="1"/>
  <c r="T1056" i="1"/>
  <c r="U1056" i="1" s="1"/>
  <c r="W1056" i="1"/>
  <c r="X1056" i="1" s="1"/>
  <c r="P1057" i="1"/>
  <c r="Q1057" i="1"/>
  <c r="R1057" i="1"/>
  <c r="T1057" i="1"/>
  <c r="U1057" i="1" s="1"/>
  <c r="W1057" i="1"/>
  <c r="X1057" i="1" s="1"/>
  <c r="P1058" i="1"/>
  <c r="Q1058" i="1"/>
  <c r="R1058" i="1"/>
  <c r="T1058" i="1"/>
  <c r="U1058" i="1" s="1"/>
  <c r="W1058" i="1"/>
  <c r="X1058" i="1" s="1"/>
  <c r="P1059" i="1"/>
  <c r="Q1059" i="1"/>
  <c r="R1059" i="1"/>
  <c r="T1059" i="1"/>
  <c r="U1059" i="1" s="1"/>
  <c r="W1059" i="1"/>
  <c r="X1059" i="1" s="1"/>
  <c r="P1060" i="1"/>
  <c r="Q1060" i="1"/>
  <c r="R1060" i="1"/>
  <c r="T1060" i="1"/>
  <c r="U1060" i="1" s="1"/>
  <c r="W1060" i="1"/>
  <c r="X1060" i="1" s="1"/>
  <c r="P1061" i="1"/>
  <c r="Q1061" i="1"/>
  <c r="R1061" i="1"/>
  <c r="T1061" i="1"/>
  <c r="U1061" i="1" s="1"/>
  <c r="W1061" i="1"/>
  <c r="X1061" i="1" s="1"/>
  <c r="P1062" i="1"/>
  <c r="Q1062" i="1"/>
  <c r="R1062" i="1"/>
  <c r="T1062" i="1"/>
  <c r="U1062" i="1" s="1"/>
  <c r="W1062" i="1"/>
  <c r="X1062" i="1" s="1"/>
  <c r="P1063" i="1"/>
  <c r="Q1063" i="1"/>
  <c r="R1063" i="1"/>
  <c r="T1063" i="1"/>
  <c r="U1063" i="1" s="1"/>
  <c r="W1063" i="1"/>
  <c r="X1063" i="1" s="1"/>
  <c r="P1064" i="1"/>
  <c r="Q1064" i="1"/>
  <c r="R1064" i="1"/>
  <c r="T1064" i="1"/>
  <c r="U1064" i="1" s="1"/>
  <c r="W1064" i="1"/>
  <c r="X1064" i="1" s="1"/>
  <c r="P1065" i="1"/>
  <c r="Q1065" i="1"/>
  <c r="R1065" i="1"/>
  <c r="T1065" i="1"/>
  <c r="U1065" i="1" s="1"/>
  <c r="W1065" i="1"/>
  <c r="X1065" i="1" s="1"/>
  <c r="P1066" i="1"/>
  <c r="Q1066" i="1"/>
  <c r="R1066" i="1"/>
  <c r="T1066" i="1"/>
  <c r="U1066" i="1" s="1"/>
  <c r="W1066" i="1"/>
  <c r="X1066" i="1" s="1"/>
  <c r="P1067" i="1"/>
  <c r="Q1067" i="1"/>
  <c r="R1067" i="1"/>
  <c r="T1067" i="1"/>
  <c r="U1067" i="1" s="1"/>
  <c r="W1067" i="1"/>
  <c r="X1067" i="1" s="1"/>
  <c r="P1068" i="1"/>
  <c r="Q1068" i="1"/>
  <c r="R1068" i="1"/>
  <c r="T1068" i="1"/>
  <c r="U1068" i="1" s="1"/>
  <c r="W1068" i="1"/>
  <c r="X1068" i="1" s="1"/>
  <c r="P1069" i="1"/>
  <c r="Q1069" i="1"/>
  <c r="R1069" i="1"/>
  <c r="T1069" i="1"/>
  <c r="U1069" i="1" s="1"/>
  <c r="W1069" i="1"/>
  <c r="X1069" i="1" s="1"/>
  <c r="P1070" i="1"/>
  <c r="Q1070" i="1"/>
  <c r="R1070" i="1"/>
  <c r="T1070" i="1"/>
  <c r="U1070" i="1" s="1"/>
  <c r="W1070" i="1"/>
  <c r="X1070" i="1" s="1"/>
  <c r="P1071" i="1"/>
  <c r="Q1071" i="1"/>
  <c r="R1071" i="1"/>
  <c r="T1071" i="1"/>
  <c r="U1071" i="1" s="1"/>
  <c r="W1071" i="1"/>
  <c r="X1071" i="1" s="1"/>
  <c r="P1072" i="1"/>
  <c r="Q1072" i="1"/>
  <c r="R1072" i="1"/>
  <c r="T1072" i="1"/>
  <c r="U1072" i="1" s="1"/>
  <c r="W1072" i="1"/>
  <c r="X1072" i="1" s="1"/>
  <c r="P1073" i="1"/>
  <c r="Q1073" i="1"/>
  <c r="R1073" i="1"/>
  <c r="T1073" i="1"/>
  <c r="U1073" i="1" s="1"/>
  <c r="W1073" i="1"/>
  <c r="X1073" i="1" s="1"/>
  <c r="P13" i="1"/>
  <c r="Q13" i="1"/>
  <c r="R13" i="1"/>
  <c r="T13" i="1"/>
  <c r="U13" i="1" s="1"/>
  <c r="W13" i="1"/>
  <c r="X13" i="1" s="1"/>
  <c r="P1074" i="1"/>
  <c r="Q1074" i="1"/>
  <c r="R1074" i="1"/>
  <c r="T1074" i="1"/>
  <c r="U1074" i="1" s="1"/>
  <c r="W1074" i="1"/>
  <c r="X1074" i="1" s="1"/>
  <c r="P1075" i="1"/>
  <c r="Q1075" i="1"/>
  <c r="R1075" i="1"/>
  <c r="T1075" i="1"/>
  <c r="U1075" i="1" s="1"/>
  <c r="W1075" i="1"/>
  <c r="X1075" i="1" s="1"/>
  <c r="P1076" i="1"/>
  <c r="Q1076" i="1"/>
  <c r="R1076" i="1"/>
  <c r="T1076" i="1"/>
  <c r="U1076" i="1" s="1"/>
  <c r="W1076" i="1"/>
  <c r="X1076" i="1" s="1"/>
  <c r="P1077" i="1"/>
  <c r="Q1077" i="1"/>
  <c r="R1077" i="1"/>
  <c r="T1077" i="1"/>
  <c r="U1077" i="1" s="1"/>
  <c r="W1077" i="1"/>
  <c r="X1077" i="1" s="1"/>
  <c r="P1078" i="1"/>
  <c r="Q1078" i="1"/>
  <c r="R1078" i="1"/>
  <c r="T1078" i="1"/>
  <c r="U1078" i="1" s="1"/>
  <c r="W1078" i="1"/>
  <c r="X1078" i="1" s="1"/>
  <c r="P1079" i="1"/>
  <c r="Q1079" i="1"/>
  <c r="R1079" i="1"/>
  <c r="T1079" i="1"/>
  <c r="U1079" i="1" s="1"/>
  <c r="W1079" i="1"/>
  <c r="X1079" i="1" s="1"/>
  <c r="P1080" i="1"/>
  <c r="Q1080" i="1"/>
  <c r="R1080" i="1"/>
  <c r="T1080" i="1"/>
  <c r="U1080" i="1" s="1"/>
  <c r="W1080" i="1"/>
  <c r="X1080" i="1" s="1"/>
  <c r="P1081" i="1"/>
  <c r="Q1081" i="1"/>
  <c r="R1081" i="1"/>
  <c r="T1081" i="1"/>
  <c r="U1081" i="1" s="1"/>
  <c r="W1081" i="1"/>
  <c r="X1081" i="1" s="1"/>
  <c r="P1082" i="1"/>
  <c r="Q1082" i="1"/>
  <c r="R1082" i="1"/>
  <c r="T1082" i="1"/>
  <c r="U1082" i="1" s="1"/>
  <c r="W1082" i="1"/>
  <c r="X1082" i="1" s="1"/>
  <c r="P1083" i="1"/>
  <c r="Q1083" i="1"/>
  <c r="R1083" i="1"/>
  <c r="T1083" i="1"/>
  <c r="U1083" i="1" s="1"/>
  <c r="W1083" i="1"/>
  <c r="X1083" i="1" s="1"/>
  <c r="P1084" i="1"/>
  <c r="Q1084" i="1"/>
  <c r="R1084" i="1"/>
  <c r="T1084" i="1"/>
  <c r="U1084" i="1" s="1"/>
  <c r="W1084" i="1"/>
  <c r="X1084" i="1" s="1"/>
  <c r="P1085" i="1"/>
  <c r="Q1085" i="1"/>
  <c r="R1085" i="1"/>
  <c r="T1085" i="1"/>
  <c r="U1085" i="1" s="1"/>
  <c r="W1085" i="1"/>
  <c r="X1085" i="1" s="1"/>
  <c r="P1086" i="1"/>
  <c r="Q1086" i="1"/>
  <c r="R1086" i="1"/>
  <c r="T1086" i="1"/>
  <c r="U1086" i="1" s="1"/>
  <c r="W1086" i="1"/>
  <c r="X1086" i="1" s="1"/>
  <c r="P1087" i="1"/>
  <c r="Q1087" i="1"/>
  <c r="R1087" i="1"/>
  <c r="T1087" i="1"/>
  <c r="U1087" i="1" s="1"/>
  <c r="W1087" i="1"/>
  <c r="X1087" i="1" s="1"/>
  <c r="P1088" i="1"/>
  <c r="Q1088" i="1"/>
  <c r="R1088" i="1"/>
  <c r="T1088" i="1"/>
  <c r="U1088" i="1" s="1"/>
  <c r="W1088" i="1"/>
  <c r="X1088" i="1" s="1"/>
  <c r="P1089" i="1"/>
  <c r="Q1089" i="1"/>
  <c r="R1089" i="1"/>
  <c r="T1089" i="1"/>
  <c r="U1089" i="1" s="1"/>
  <c r="W1089" i="1"/>
  <c r="X1089" i="1" s="1"/>
  <c r="P14" i="1"/>
  <c r="Q14" i="1"/>
  <c r="R14" i="1"/>
  <c r="T14" i="1"/>
  <c r="U14" i="1" s="1"/>
  <c r="W14" i="1"/>
  <c r="X14" i="1" s="1"/>
  <c r="P1090" i="1"/>
  <c r="Q1090" i="1"/>
  <c r="R1090" i="1"/>
  <c r="P1091" i="1"/>
  <c r="Q1091" i="1"/>
  <c r="R1091" i="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M20" i="9"/>
  <c r="Z1106" i="1"/>
  <c r="S4" i="1" l="1"/>
  <c r="Y191" i="1"/>
  <c r="AA191" i="1" s="1"/>
  <c r="Y117" i="1"/>
  <c r="AA117" i="1" s="1"/>
  <c r="Y38" i="1"/>
  <c r="AA38" i="1" s="1"/>
  <c r="Y1092" i="1"/>
  <c r="AA1092" i="1" s="1"/>
  <c r="P5" i="1"/>
  <c r="V5" i="1" s="1"/>
  <c r="P4" i="1"/>
  <c r="V4" i="1" s="1"/>
  <c r="Y133" i="1"/>
  <c r="AA133" i="1" s="1"/>
  <c r="Y42" i="1"/>
  <c r="AA42" i="1" s="1"/>
  <c r="Z37" i="1"/>
  <c r="Y31" i="1"/>
  <c r="AA31" i="1" s="1"/>
  <c r="Y23" i="1"/>
  <c r="AA23" i="1" s="1"/>
  <c r="Y1101" i="1"/>
  <c r="AA1101" i="1" s="1"/>
  <c r="Y1107" i="1"/>
  <c r="AA1107" i="1" s="1"/>
  <c r="Y288" i="1"/>
  <c r="AA288" i="1" s="1"/>
  <c r="Y166" i="1"/>
  <c r="AA166" i="1" s="1"/>
  <c r="Z165" i="1"/>
  <c r="Y140" i="1"/>
  <c r="AA140" i="1" s="1"/>
  <c r="Z135" i="1"/>
  <c r="Y132" i="1"/>
  <c r="AA132" i="1" s="1"/>
  <c r="Z131" i="1"/>
  <c r="Y128" i="1"/>
  <c r="AA128" i="1" s="1"/>
  <c r="Z127" i="1"/>
  <c r="Y99" i="1"/>
  <c r="AA99" i="1" s="1"/>
  <c r="Z98" i="1"/>
  <c r="Y90" i="1"/>
  <c r="AA90" i="1" s="1"/>
  <c r="Y84" i="1"/>
  <c r="AA84" i="1" s="1"/>
  <c r="Y76" i="1"/>
  <c r="AA76" i="1" s="1"/>
  <c r="Y68" i="1"/>
  <c r="AA68" i="1" s="1"/>
  <c r="Y53" i="1"/>
  <c r="AA53" i="1" s="1"/>
  <c r="Y49" i="1"/>
  <c r="AA49" i="1" s="1"/>
  <c r="Y1091" i="1"/>
  <c r="AA1091" i="1" s="1"/>
  <c r="Z33" i="1"/>
  <c r="Y1090" i="1"/>
  <c r="AA1090" i="1" s="1"/>
  <c r="Z1094" i="1"/>
  <c r="Z1097" i="1"/>
  <c r="Z217" i="1"/>
  <c r="Y147" i="1"/>
  <c r="AA147" i="1" s="1"/>
  <c r="Z1101" i="1"/>
  <c r="Y444" i="1"/>
  <c r="AA444" i="1" s="1"/>
  <c r="Y441" i="1"/>
  <c r="AA441" i="1" s="1"/>
  <c r="Z349" i="1"/>
  <c r="Y334" i="1"/>
  <c r="AA334" i="1" s="1"/>
  <c r="Z333" i="1"/>
  <c r="Y326" i="1"/>
  <c r="AA326" i="1" s="1"/>
  <c r="Z325" i="1"/>
  <c r="Y318" i="1"/>
  <c r="AA318" i="1" s="1"/>
  <c r="Y310" i="1"/>
  <c r="AA310" i="1" s="1"/>
  <c r="Y45" i="1"/>
  <c r="AA45" i="1" s="1"/>
  <c r="Z44" i="1"/>
  <c r="Y41" i="1"/>
  <c r="AA41" i="1" s="1"/>
  <c r="Z40" i="1"/>
  <c r="Y30" i="1"/>
  <c r="AA30" i="1" s="1"/>
  <c r="Z18" i="1"/>
  <c r="Z1100" i="1"/>
  <c r="Y73" i="1"/>
  <c r="AA73" i="1" s="1"/>
  <c r="Y739" i="1"/>
  <c r="AA739" i="1" s="1"/>
  <c r="Y823" i="1"/>
  <c r="AA823" i="1" s="1"/>
  <c r="Y447" i="1"/>
  <c r="AA447" i="1" s="1"/>
  <c r="Y426" i="1"/>
  <c r="AA426" i="1" s="1"/>
  <c r="Z371" i="1"/>
  <c r="Z317" i="1"/>
  <c r="Y315" i="1"/>
  <c r="AA315" i="1" s="1"/>
  <c r="Z309" i="1"/>
  <c r="Y307" i="1"/>
  <c r="AA307" i="1" s="1"/>
  <c r="Y299" i="1"/>
  <c r="AA299" i="1" s="1"/>
  <c r="Y291" i="1"/>
  <c r="AA291" i="1" s="1"/>
  <c r="Y283" i="1"/>
  <c r="AA283" i="1" s="1"/>
  <c r="Y271" i="1"/>
  <c r="AA271" i="1" s="1"/>
  <c r="Y267" i="1"/>
  <c r="AA267" i="1" s="1"/>
  <c r="Y261" i="1"/>
  <c r="AA261" i="1" s="1"/>
  <c r="Y453" i="1"/>
  <c r="AA453" i="1" s="1"/>
  <c r="Y246" i="1"/>
  <c r="AA246" i="1" s="1"/>
  <c r="Y221" i="1"/>
  <c r="AA221" i="1" s="1"/>
  <c r="Y205" i="1"/>
  <c r="AA205" i="1" s="1"/>
  <c r="Y197" i="1"/>
  <c r="AA197" i="1" s="1"/>
  <c r="Y181" i="1"/>
  <c r="AA181" i="1" s="1"/>
  <c r="Y173" i="1"/>
  <c r="AA173" i="1" s="1"/>
  <c r="Y170" i="1"/>
  <c r="AA170" i="1" s="1"/>
  <c r="Y167" i="1"/>
  <c r="AA167" i="1" s="1"/>
  <c r="Y148" i="1"/>
  <c r="AA148" i="1" s="1"/>
  <c r="Y141" i="1"/>
  <c r="AA141" i="1" s="1"/>
  <c r="Y110" i="1"/>
  <c r="AA110" i="1" s="1"/>
  <c r="Y251" i="1"/>
  <c r="AA251" i="1" s="1"/>
  <c r="Z201" i="1"/>
  <c r="Y337" i="1"/>
  <c r="AA337" i="1" s="1"/>
  <c r="Y533" i="1"/>
  <c r="AA533" i="1" s="1"/>
  <c r="Y434" i="1"/>
  <c r="AA434" i="1" s="1"/>
  <c r="Y398" i="1"/>
  <c r="AA398" i="1" s="1"/>
  <c r="Z138" i="1"/>
  <c r="Y364" i="1"/>
  <c r="AA364" i="1" s="1"/>
  <c r="Y361" i="1"/>
  <c r="AA361" i="1" s="1"/>
  <c r="Y296" i="1"/>
  <c r="AA296" i="1" s="1"/>
  <c r="Y280" i="1"/>
  <c r="AA280" i="1" s="1"/>
  <c r="Y274" i="1"/>
  <c r="AA274" i="1" s="1"/>
  <c r="Y264" i="1"/>
  <c r="AA264" i="1" s="1"/>
  <c r="Z344" i="1"/>
  <c r="Z56" i="1"/>
  <c r="Z52" i="1"/>
  <c r="Y242" i="1"/>
  <c r="AA242" i="1" s="1"/>
  <c r="Y239" i="1"/>
  <c r="AA239" i="1" s="1"/>
  <c r="Y235" i="1"/>
  <c r="AA235" i="1" s="1"/>
  <c r="Y218" i="1"/>
  <c r="AA218" i="1" s="1"/>
  <c r="Y163" i="1"/>
  <c r="AA163" i="1" s="1"/>
  <c r="Y160" i="1"/>
  <c r="AA160" i="1" s="1"/>
  <c r="Y152" i="1"/>
  <c r="AA152" i="1" s="1"/>
  <c r="Y144" i="1"/>
  <c r="AA144" i="1" s="1"/>
  <c r="Y137" i="1"/>
  <c r="AA137" i="1" s="1"/>
  <c r="Y129" i="1"/>
  <c r="AA129" i="1" s="1"/>
  <c r="Y125" i="1"/>
  <c r="AA125" i="1" s="1"/>
  <c r="Y82" i="1"/>
  <c r="AA82" i="1" s="1"/>
  <c r="Y74" i="1"/>
  <c r="AA74" i="1" s="1"/>
  <c r="Y54" i="1"/>
  <c r="AA54" i="1" s="1"/>
  <c r="Y50" i="1"/>
  <c r="AA50" i="1" s="1"/>
  <c r="Z295" i="1"/>
  <c r="Y293" i="1"/>
  <c r="AA293" i="1" s="1"/>
  <c r="Y285" i="1"/>
  <c r="AA285" i="1" s="1"/>
  <c r="Z279" i="1"/>
  <c r="Y270" i="1"/>
  <c r="AA270" i="1" s="1"/>
  <c r="Z269" i="1"/>
  <c r="Y257" i="1"/>
  <c r="AA257" i="1" s="1"/>
  <c r="Z234" i="1"/>
  <c r="Y215" i="1"/>
  <c r="AA215" i="1" s="1"/>
  <c r="Z193" i="1"/>
  <c r="Y183" i="1"/>
  <c r="AA183" i="1" s="1"/>
  <c r="Z162" i="1"/>
  <c r="Z159" i="1"/>
  <c r="Y157" i="1"/>
  <c r="AA157" i="1" s="1"/>
  <c r="Z151" i="1"/>
  <c r="Y150" i="1"/>
  <c r="AA150" i="1" s="1"/>
  <c r="Z146" i="1"/>
  <c r="Z142" i="1"/>
  <c r="Z139" i="1"/>
  <c r="Z123" i="1"/>
  <c r="Y113" i="1"/>
  <c r="AA113" i="1" s="1"/>
  <c r="Z108" i="1"/>
  <c r="Y106" i="1"/>
  <c r="AA106" i="1" s="1"/>
  <c r="Z105" i="1"/>
  <c r="Y103" i="1"/>
  <c r="AA103" i="1" s="1"/>
  <c r="Z95" i="1"/>
  <c r="Y87" i="1"/>
  <c r="AA87" i="1" s="1"/>
  <c r="Z86" i="1"/>
  <c r="Z81" i="1"/>
  <c r="Y79" i="1"/>
  <c r="AA79" i="1" s="1"/>
  <c r="Z78" i="1"/>
  <c r="Z73" i="1"/>
  <c r="Y71" i="1"/>
  <c r="AA71" i="1" s="1"/>
  <c r="Z70" i="1"/>
  <c r="Z306" i="1"/>
  <c r="Z290" i="1"/>
  <c r="Z282" i="1"/>
  <c r="Z273" i="1"/>
  <c r="Z266" i="1"/>
  <c r="Z260" i="1"/>
  <c r="Z248" i="1"/>
  <c r="Z238" i="1"/>
  <c r="Z220" i="1"/>
  <c r="Z204" i="1"/>
  <c r="Z172" i="1"/>
  <c r="Z169" i="1"/>
  <c r="Z166" i="1"/>
  <c r="Z154" i="1"/>
  <c r="Z143" i="1"/>
  <c r="Z140" i="1"/>
  <c r="Z136" i="1"/>
  <c r="Z132" i="1"/>
  <c r="Z128" i="1"/>
  <c r="Z124" i="1"/>
  <c r="Z120" i="1"/>
  <c r="Z109" i="1"/>
  <c r="Y20" i="1"/>
  <c r="AA20" i="1" s="1"/>
  <c r="Z19" i="1"/>
  <c r="Z1098" i="1"/>
  <c r="Y618" i="1"/>
  <c r="AA618" i="1" s="1"/>
  <c r="Y576" i="1"/>
  <c r="AA576" i="1" s="1"/>
  <c r="Y724" i="1"/>
  <c r="AA724" i="1" s="1"/>
  <c r="Y531" i="1"/>
  <c r="AA531" i="1" s="1"/>
  <c r="Y480" i="1"/>
  <c r="AA480" i="1" s="1"/>
  <c r="Y466" i="1"/>
  <c r="AA466" i="1" s="1"/>
  <c r="Y458" i="1"/>
  <c r="AA458" i="1" s="1"/>
  <c r="Y448" i="1"/>
  <c r="AA448" i="1" s="1"/>
  <c r="Y408" i="1"/>
  <c r="AA408" i="1" s="1"/>
  <c r="Y665" i="1"/>
  <c r="AA665" i="1" s="1"/>
  <c r="Y584" i="1"/>
  <c r="AA584" i="1" s="1"/>
  <c r="Y568" i="1"/>
  <c r="AA568" i="1" s="1"/>
  <c r="Y558" i="1"/>
  <c r="AA558" i="1" s="1"/>
  <c r="Y542" i="1"/>
  <c r="AA542" i="1" s="1"/>
  <c r="Y498" i="1"/>
  <c r="AA498" i="1" s="1"/>
  <c r="Y482" i="1"/>
  <c r="AA482" i="1" s="1"/>
  <c r="Z481" i="1"/>
  <c r="Y468" i="1"/>
  <c r="AA468" i="1" s="1"/>
  <c r="Z467" i="1"/>
  <c r="Y457" i="1"/>
  <c r="AA457" i="1" s="1"/>
  <c r="Z452" i="1"/>
  <c r="Y410" i="1"/>
  <c r="AA410" i="1" s="1"/>
  <c r="Z409" i="1"/>
  <c r="Y401" i="1"/>
  <c r="AA401" i="1" s="1"/>
  <c r="Y394" i="1"/>
  <c r="AA394" i="1" s="1"/>
  <c r="Z386" i="1"/>
  <c r="Y384" i="1"/>
  <c r="AA384" i="1" s="1"/>
  <c r="Z383" i="1"/>
  <c r="Y380" i="1"/>
  <c r="AA380" i="1" s="1"/>
  <c r="Y377" i="1"/>
  <c r="AA377" i="1" s="1"/>
  <c r="Y372" i="1"/>
  <c r="AA372" i="1" s="1"/>
  <c r="Y356" i="1"/>
  <c r="AA356" i="1" s="1"/>
  <c r="Z355" i="1"/>
  <c r="Y353" i="1"/>
  <c r="AA353" i="1" s="1"/>
  <c r="Y345" i="1"/>
  <c r="AA345" i="1" s="1"/>
  <c r="Z336" i="1"/>
  <c r="Y244" i="1"/>
  <c r="AA244" i="1" s="1"/>
  <c r="Z841" i="1"/>
  <c r="Y722" i="1"/>
  <c r="AA722" i="1" s="1"/>
  <c r="Z642" i="1"/>
  <c r="Z599" i="1"/>
  <c r="Z597" i="1"/>
  <c r="Y544" i="1"/>
  <c r="AA544" i="1" s="1"/>
  <c r="Y100" i="1"/>
  <c r="AA100" i="1" s="1"/>
  <c r="Z99" i="1"/>
  <c r="Y97" i="1"/>
  <c r="AA97" i="1" s="1"/>
  <c r="Z96" i="1"/>
  <c r="Y94" i="1"/>
  <c r="AA94" i="1" s="1"/>
  <c r="Z93" i="1"/>
  <c r="Y91" i="1"/>
  <c r="AA91" i="1" s="1"/>
  <c r="Z90" i="1"/>
  <c r="Y88" i="1"/>
  <c r="AA88" i="1" s="1"/>
  <c r="Y85" i="1"/>
  <c r="AA85" i="1" s="1"/>
  <c r="Z84" i="1"/>
  <c r="Y77" i="1"/>
  <c r="AA77" i="1" s="1"/>
  <c r="Z76" i="1"/>
  <c r="Z68" i="1"/>
  <c r="Y61" i="1"/>
  <c r="AA61" i="1" s="1"/>
  <c r="Z53" i="1"/>
  <c r="Z49" i="1"/>
  <c r="Z41" i="1"/>
  <c r="Y1104" i="1"/>
  <c r="AA1104" i="1" s="1"/>
  <c r="Y1047" i="1"/>
  <c r="AA1047" i="1" s="1"/>
  <c r="Y1037" i="1"/>
  <c r="AA1037" i="1" s="1"/>
  <c r="Y1021" i="1"/>
  <c r="AA1021" i="1" s="1"/>
  <c r="Y186" i="1"/>
  <c r="AA186" i="1" s="1"/>
  <c r="Y178" i="1"/>
  <c r="AA178" i="1" s="1"/>
  <c r="Z1046" i="1"/>
  <c r="Y951" i="1"/>
  <c r="AA951" i="1" s="1"/>
  <c r="Y673" i="1"/>
  <c r="AA673" i="1" s="1"/>
  <c r="Y643" i="1"/>
  <c r="AA643" i="1" s="1"/>
  <c r="Y471" i="1"/>
  <c r="AA471" i="1" s="1"/>
  <c r="Y407" i="1"/>
  <c r="AA407" i="1" s="1"/>
  <c r="Y369" i="1"/>
  <c r="AA369" i="1" s="1"/>
  <c r="Y297" i="1"/>
  <c r="AA297" i="1" s="1"/>
  <c r="Y289" i="1"/>
  <c r="AA289" i="1" s="1"/>
  <c r="Y281" i="1"/>
  <c r="AA281" i="1" s="1"/>
  <c r="Y272" i="1"/>
  <c r="AA272" i="1" s="1"/>
  <c r="Y268" i="1"/>
  <c r="AA268" i="1" s="1"/>
  <c r="Y265" i="1"/>
  <c r="AA265" i="1" s="1"/>
  <c r="Y211" i="1"/>
  <c r="AA211" i="1" s="1"/>
  <c r="Y845" i="1"/>
  <c r="AA845" i="1" s="1"/>
  <c r="Y684" i="1"/>
  <c r="AA684" i="1" s="1"/>
  <c r="Y676" i="1"/>
  <c r="AA676" i="1" s="1"/>
  <c r="Y636" i="1"/>
  <c r="AA636" i="1" s="1"/>
  <c r="Y587" i="1"/>
  <c r="AA587" i="1" s="1"/>
  <c r="Y579" i="1"/>
  <c r="AA579" i="1" s="1"/>
  <c r="Y571" i="1"/>
  <c r="AA571" i="1" s="1"/>
  <c r="Y553" i="1"/>
  <c r="AA553" i="1" s="1"/>
  <c r="Y545" i="1"/>
  <c r="AA545" i="1" s="1"/>
  <c r="Y1094" i="1"/>
  <c r="AA1094" i="1" s="1"/>
  <c r="Z552" i="1"/>
  <c r="Z544" i="1"/>
  <c r="Y506" i="1"/>
  <c r="AA506" i="1" s="1"/>
  <c r="Z199" i="1"/>
  <c r="Z194" i="1"/>
  <c r="Y192" i="1"/>
  <c r="AA192" i="1" s="1"/>
  <c r="Z191" i="1"/>
  <c r="Z186" i="1"/>
  <c r="Z183" i="1"/>
  <c r="Z175" i="1"/>
  <c r="Z163" i="1"/>
  <c r="Y161" i="1"/>
  <c r="AA161" i="1" s="1"/>
  <c r="Z160" i="1"/>
  <c r="Y158" i="1"/>
  <c r="AA158" i="1" s="1"/>
  <c r="Z157" i="1"/>
  <c r="Y155" i="1"/>
  <c r="AA155" i="1" s="1"/>
  <c r="Z152" i="1"/>
  <c r="Z150" i="1"/>
  <c r="Z147" i="1"/>
  <c r="Z144" i="1"/>
  <c r="Y138" i="1"/>
  <c r="AA138" i="1" s="1"/>
  <c r="Z137" i="1"/>
  <c r="Y134" i="1"/>
  <c r="AA134" i="1" s="1"/>
  <c r="Z125" i="1"/>
  <c r="Y122" i="1"/>
  <c r="AA122" i="1" s="1"/>
  <c r="Z121" i="1"/>
  <c r="Y118" i="1"/>
  <c r="AA118" i="1" s="1"/>
  <c r="Z117" i="1"/>
  <c r="Z113" i="1"/>
  <c r="Y107" i="1"/>
  <c r="AA107" i="1" s="1"/>
  <c r="Z106" i="1"/>
  <c r="Y104" i="1"/>
  <c r="AA104" i="1" s="1"/>
  <c r="Z82" i="1"/>
  <c r="Y80" i="1"/>
  <c r="AA80" i="1" s="1"/>
  <c r="Z79" i="1"/>
  <c r="Z74" i="1"/>
  <c r="Y72" i="1"/>
  <c r="AA72" i="1" s="1"/>
  <c r="Z71" i="1"/>
  <c r="Z66" i="1"/>
  <c r="Y64" i="1"/>
  <c r="AA64" i="1" s="1"/>
  <c r="Z63" i="1"/>
  <c r="Z57" i="1"/>
  <c r="Y55" i="1"/>
  <c r="AA55" i="1" s="1"/>
  <c r="Z54" i="1"/>
  <c r="Y51" i="1"/>
  <c r="AA51" i="1" s="1"/>
  <c r="Z50" i="1"/>
  <c r="Y47" i="1"/>
  <c r="AA47" i="1" s="1"/>
  <c r="Z46" i="1"/>
  <c r="Y43" i="1"/>
  <c r="AA43" i="1" s="1"/>
  <c r="Z42" i="1"/>
  <c r="Y39" i="1"/>
  <c r="AA39" i="1" s="1"/>
  <c r="Z31" i="1"/>
  <c r="Y28" i="1"/>
  <c r="AA28" i="1" s="1"/>
  <c r="Z27" i="1"/>
  <c r="Z1093" i="1"/>
  <c r="Z1095" i="1"/>
  <c r="Z1102" i="1"/>
  <c r="Z1104" i="1"/>
  <c r="Y904" i="1"/>
  <c r="AA904" i="1" s="1"/>
  <c r="Z887" i="1"/>
  <c r="Y872" i="1"/>
  <c r="AA872" i="1" s="1"/>
  <c r="Y864" i="1"/>
  <c r="AA864" i="1" s="1"/>
  <c r="Z850" i="1"/>
  <c r="Y848" i="1"/>
  <c r="AA848" i="1" s="1"/>
  <c r="Z818" i="1"/>
  <c r="Y816" i="1"/>
  <c r="AA816" i="1" s="1"/>
  <c r="Y809" i="1"/>
  <c r="AA809" i="1" s="1"/>
  <c r="Y793" i="1"/>
  <c r="AA793" i="1" s="1"/>
  <c r="Z787" i="1"/>
  <c r="Y785" i="1"/>
  <c r="AA785" i="1" s="1"/>
  <c r="Z776" i="1"/>
  <c r="Y769" i="1"/>
  <c r="AA769" i="1" s="1"/>
  <c r="Y753" i="1"/>
  <c r="AA753" i="1" s="1"/>
  <c r="Y687" i="1"/>
  <c r="AA687" i="1" s="1"/>
  <c r="Y655" i="1"/>
  <c r="AA655" i="1" s="1"/>
  <c r="Y582" i="1"/>
  <c r="AA582" i="1" s="1"/>
  <c r="Z581" i="1"/>
  <c r="Y574" i="1"/>
  <c r="AA574" i="1" s="1"/>
  <c r="Z563" i="1"/>
  <c r="Y556" i="1"/>
  <c r="AA556" i="1" s="1"/>
  <c r="Y886" i="1"/>
  <c r="AA886" i="1" s="1"/>
  <c r="Y819" i="1"/>
  <c r="AA819" i="1" s="1"/>
  <c r="Y767" i="1"/>
  <c r="AA767" i="1" s="1"/>
  <c r="Y639" i="1"/>
  <c r="AA639" i="1" s="1"/>
  <c r="Y1036" i="1"/>
  <c r="AA1036" i="1" s="1"/>
  <c r="Y1020" i="1"/>
  <c r="AA1020" i="1" s="1"/>
  <c r="Y1004" i="1"/>
  <c r="AA1004" i="1" s="1"/>
  <c r="Y985" i="1"/>
  <c r="AA985" i="1" s="1"/>
  <c r="Z683" i="1"/>
  <c r="Z675" i="1"/>
  <c r="Z667" i="1"/>
  <c r="Z659" i="1"/>
  <c r="Z198" i="1"/>
  <c r="Z190" i="1"/>
  <c r="Z182" i="1"/>
  <c r="Y180" i="1"/>
  <c r="AA180" i="1" s="1"/>
  <c r="Z149" i="1"/>
  <c r="Y143" i="1"/>
  <c r="AA143" i="1" s="1"/>
  <c r="Y93" i="1"/>
  <c r="AA93" i="1" s="1"/>
  <c r="Z287" i="1"/>
  <c r="Y277" i="1"/>
  <c r="AA277" i="1" s="1"/>
  <c r="Y254" i="1"/>
  <c r="AA254" i="1" s="1"/>
  <c r="Y226" i="1"/>
  <c r="AA226" i="1" s="1"/>
  <c r="Y223" i="1"/>
  <c r="AA223" i="1" s="1"/>
  <c r="Z393" i="1"/>
  <c r="Z363" i="1"/>
  <c r="Z555" i="1"/>
  <c r="Z523" i="1"/>
  <c r="Y521" i="1"/>
  <c r="AA521" i="1" s="1"/>
  <c r="Z519" i="1"/>
  <c r="Y509" i="1"/>
  <c r="AA509" i="1" s="1"/>
  <c r="Z508" i="1"/>
  <c r="Y501" i="1"/>
  <c r="AA501" i="1" s="1"/>
  <c r="Z500" i="1"/>
  <c r="Z476" i="1"/>
  <c r="Z474" i="1"/>
  <c r="Z471" i="1"/>
  <c r="Z462" i="1"/>
  <c r="Z460" i="1"/>
  <c r="Z453" i="1"/>
  <c r="Y445" i="1"/>
  <c r="AA445" i="1" s="1"/>
  <c r="Y437" i="1"/>
  <c r="AA437" i="1" s="1"/>
  <c r="Z436" i="1"/>
  <c r="Z431" i="1"/>
  <c r="Y429" i="1"/>
  <c r="AA429" i="1" s="1"/>
  <c r="Z428" i="1"/>
  <c r="Y421" i="1"/>
  <c r="AA421" i="1" s="1"/>
  <c r="Z420" i="1"/>
  <c r="Y413" i="1"/>
  <c r="AA413" i="1" s="1"/>
  <c r="Z412" i="1"/>
  <c r="Y405" i="1"/>
  <c r="AA405" i="1" s="1"/>
  <c r="Z404" i="1"/>
  <c r="Z397" i="1"/>
  <c r="Y391" i="1"/>
  <c r="AA391" i="1" s="1"/>
  <c r="Z390" i="1"/>
  <c r="Y381" i="1"/>
  <c r="AA381" i="1" s="1"/>
  <c r="Y375" i="1"/>
  <c r="AA375" i="1" s="1"/>
  <c r="Z374" i="1"/>
  <c r="Y367" i="1"/>
  <c r="AA367" i="1" s="1"/>
  <c r="Z366" i="1"/>
  <c r="Y359" i="1"/>
  <c r="AA359" i="1" s="1"/>
  <c r="Z358" i="1"/>
  <c r="Y351" i="1"/>
  <c r="AA351" i="1" s="1"/>
  <c r="Z350" i="1"/>
  <c r="Y348" i="1"/>
  <c r="AA348" i="1" s="1"/>
  <c r="Z347" i="1"/>
  <c r="Y340" i="1"/>
  <c r="AA340" i="1" s="1"/>
  <c r="Z339" i="1"/>
  <c r="Z331" i="1"/>
  <c r="Y329" i="1"/>
  <c r="AA329" i="1" s="1"/>
  <c r="Z328" i="1"/>
  <c r="Y313" i="1"/>
  <c r="AA313" i="1" s="1"/>
  <c r="Z304" i="1"/>
  <c r="Y302" i="1"/>
  <c r="AA302" i="1" s="1"/>
  <c r="Z301" i="1"/>
  <c r="Z299" i="1"/>
  <c r="Y294" i="1"/>
  <c r="AA294" i="1" s="1"/>
  <c r="Z293" i="1"/>
  <c r="Z291" i="1"/>
  <c r="Z288" i="1"/>
  <c r="Z285" i="1"/>
  <c r="Z283" i="1"/>
  <c r="Z280" i="1"/>
  <c r="Y278" i="1"/>
  <c r="AA278" i="1" s="1"/>
  <c r="Z277" i="1"/>
  <c r="Y275" i="1"/>
  <c r="AA275" i="1" s="1"/>
  <c r="Z274" i="1"/>
  <c r="Z271" i="1"/>
  <c r="Z270" i="1"/>
  <c r="Z264" i="1"/>
  <c r="Z261" i="1"/>
  <c r="Y258" i="1"/>
  <c r="AA258" i="1" s="1"/>
  <c r="Z257" i="1"/>
  <c r="Z255" i="1"/>
  <c r="Z254" i="1"/>
  <c r="Y252" i="1"/>
  <c r="AA252" i="1" s="1"/>
  <c r="Z249" i="1"/>
  <c r="Z246" i="1"/>
  <c r="Z245" i="1"/>
  <c r="Z232" i="1"/>
  <c r="Y227" i="1"/>
  <c r="AA227" i="1" s="1"/>
  <c r="Z226" i="1"/>
  <c r="Z223" i="1"/>
  <c r="Z221" i="1"/>
  <c r="Z210" i="1"/>
  <c r="Z207" i="1"/>
  <c r="Z205" i="1"/>
  <c r="Y75" i="1"/>
  <c r="AA75" i="1" s="1"/>
  <c r="Y67" i="1"/>
  <c r="AA67" i="1" s="1"/>
  <c r="Y1096" i="1"/>
  <c r="AA1096" i="1" s="1"/>
  <c r="Y1100" i="1"/>
  <c r="AA1100" i="1" s="1"/>
  <c r="Y594" i="1"/>
  <c r="AA594" i="1" s="1"/>
  <c r="Y580" i="1"/>
  <c r="AA580" i="1" s="1"/>
  <c r="Y562" i="1"/>
  <c r="AA562" i="1" s="1"/>
  <c r="Y554" i="1"/>
  <c r="AA554" i="1" s="1"/>
  <c r="Y522" i="1"/>
  <c r="AA522" i="1" s="1"/>
  <c r="Y518" i="1"/>
  <c r="AA518" i="1" s="1"/>
  <c r="Y507" i="1"/>
  <c r="AA507" i="1" s="1"/>
  <c r="Y491" i="1"/>
  <c r="AA491" i="1" s="1"/>
  <c r="Z485" i="1"/>
  <c r="Y411" i="1"/>
  <c r="AA411" i="1" s="1"/>
  <c r="Y392" i="1"/>
  <c r="AA392" i="1" s="1"/>
  <c r="Y382" i="1"/>
  <c r="AA382" i="1" s="1"/>
  <c r="Y365" i="1"/>
  <c r="AA365" i="1" s="1"/>
  <c r="Y346" i="1"/>
  <c r="AA346" i="1" s="1"/>
  <c r="Y338" i="1"/>
  <c r="AA338" i="1" s="1"/>
  <c r="Y319" i="1"/>
  <c r="AA319" i="1" s="1"/>
  <c r="Y311" i="1"/>
  <c r="AA311" i="1" s="1"/>
  <c r="Y1097" i="1"/>
  <c r="AA1097" i="1" s="1"/>
  <c r="Y971" i="1"/>
  <c r="AA971" i="1" s="1"/>
  <c r="Z965" i="1"/>
  <c r="Y867" i="1"/>
  <c r="AA867" i="1" s="1"/>
  <c r="Z811" i="1"/>
  <c r="Z803" i="1"/>
  <c r="Y788" i="1"/>
  <c r="AA788" i="1" s="1"/>
  <c r="Y777" i="1"/>
  <c r="AA777" i="1" s="1"/>
  <c r="Y771" i="1"/>
  <c r="AA771" i="1" s="1"/>
  <c r="Z763" i="1"/>
  <c r="Z530" i="1"/>
  <c r="Y1106" i="1"/>
  <c r="AA1106" i="1" s="1"/>
  <c r="Y876" i="1"/>
  <c r="AA876" i="1" s="1"/>
  <c r="Y868" i="1"/>
  <c r="AA868" i="1" s="1"/>
  <c r="Y860" i="1"/>
  <c r="AA860" i="1" s="1"/>
  <c r="Z859" i="1"/>
  <c r="Y836" i="1"/>
  <c r="AA836" i="1" s="1"/>
  <c r="Y828" i="1"/>
  <c r="AA828" i="1" s="1"/>
  <c r="Y820" i="1"/>
  <c r="AA820" i="1" s="1"/>
  <c r="Y775" i="1"/>
  <c r="AA775" i="1" s="1"/>
  <c r="Y772" i="1"/>
  <c r="AA772" i="1" s="1"/>
  <c r="Y765" i="1"/>
  <c r="AA765" i="1" s="1"/>
  <c r="Y757" i="1"/>
  <c r="AA757" i="1" s="1"/>
  <c r="Y700" i="1"/>
  <c r="AA700" i="1" s="1"/>
  <c r="Y697" i="1"/>
  <c r="AA697" i="1" s="1"/>
  <c r="Y600" i="1"/>
  <c r="AA600" i="1" s="1"/>
  <c r="Y592" i="1"/>
  <c r="AA592" i="1" s="1"/>
  <c r="Y513" i="1"/>
  <c r="AA513" i="1" s="1"/>
  <c r="Y456" i="1"/>
  <c r="AA456" i="1" s="1"/>
  <c r="Y417" i="1"/>
  <c r="AA417" i="1" s="1"/>
  <c r="Y298" i="1"/>
  <c r="AA298" i="1" s="1"/>
  <c r="Z292" i="1"/>
  <c r="Y290" i="1"/>
  <c r="AA290" i="1" s="1"/>
  <c r="Z284" i="1"/>
  <c r="Y282" i="1"/>
  <c r="AA282" i="1" s="1"/>
  <c r="Z276" i="1"/>
  <c r="Y273" i="1"/>
  <c r="AA273" i="1" s="1"/>
  <c r="Y263" i="1"/>
  <c r="AA263" i="1" s="1"/>
  <c r="Z262" i="1"/>
  <c r="Y260" i="1"/>
  <c r="AA260" i="1" s="1"/>
  <c r="Z259" i="1"/>
  <c r="Z256" i="1"/>
  <c r="Z253" i="1"/>
  <c r="Y248" i="1"/>
  <c r="AA248" i="1" s="1"/>
  <c r="Y238" i="1"/>
  <c r="AA238" i="1" s="1"/>
  <c r="Z231" i="1"/>
  <c r="Z225" i="1"/>
  <c r="Z222" i="1"/>
  <c r="Y220" i="1"/>
  <c r="AA220" i="1" s="1"/>
  <c r="Z214" i="1"/>
  <c r="Z195" i="1"/>
  <c r="Y193" i="1"/>
  <c r="AA193" i="1" s="1"/>
  <c r="Z187" i="1"/>
  <c r="Y185" i="1"/>
  <c r="AA185" i="1" s="1"/>
  <c r="Z179" i="1"/>
  <c r="Y177" i="1"/>
  <c r="AA177" i="1" s="1"/>
  <c r="Y162" i="1"/>
  <c r="AA162" i="1" s="1"/>
  <c r="Z153" i="1"/>
  <c r="Y146" i="1"/>
  <c r="AA146" i="1" s="1"/>
  <c r="Z145" i="1"/>
  <c r="Y116" i="1"/>
  <c r="AA116" i="1" s="1"/>
  <c r="Z115" i="1"/>
  <c r="Y112" i="1"/>
  <c r="AA112" i="1" s="1"/>
  <c r="Y102" i="1"/>
  <c r="AA102" i="1" s="1"/>
  <c r="Z101" i="1"/>
  <c r="Z92" i="1"/>
  <c r="Z89" i="1"/>
  <c r="Z83" i="1"/>
  <c r="Y81" i="1"/>
  <c r="AA81" i="1" s="1"/>
  <c r="Z67" i="1"/>
  <c r="Y65" i="1"/>
  <c r="AA65" i="1" s="1"/>
  <c r="Z59" i="1"/>
  <c r="Z36" i="1"/>
  <c r="Z1103" i="1"/>
  <c r="Z1088" i="1"/>
  <c r="Y891" i="1"/>
  <c r="AA891" i="1" s="1"/>
  <c r="Z866" i="1"/>
  <c r="Y804" i="1"/>
  <c r="AA804" i="1" s="1"/>
  <c r="Y1030" i="1"/>
  <c r="AA1030" i="1" s="1"/>
  <c r="Y899" i="1"/>
  <c r="AA899" i="1" s="1"/>
  <c r="Z890" i="1"/>
  <c r="Z858" i="1"/>
  <c r="Y851" i="1"/>
  <c r="AA851" i="1" s="1"/>
  <c r="Y812" i="1"/>
  <c r="AA812" i="1" s="1"/>
  <c r="Z849" i="1"/>
  <c r="Y654" i="1"/>
  <c r="AA654" i="1" s="1"/>
  <c r="Y648" i="1"/>
  <c r="AA648" i="1" s="1"/>
  <c r="Z981" i="1"/>
  <c r="Y1078" i="1"/>
  <c r="AA1078" i="1" s="1"/>
  <c r="Y947" i="1"/>
  <c r="AA947" i="1" s="1"/>
  <c r="Y939" i="1"/>
  <c r="AA939" i="1" s="1"/>
  <c r="Z898" i="1"/>
  <c r="Y875" i="1"/>
  <c r="AA875" i="1" s="1"/>
  <c r="Y827" i="1"/>
  <c r="AA827" i="1" s="1"/>
  <c r="Y958" i="1"/>
  <c r="AA958" i="1" s="1"/>
  <c r="Y950" i="1"/>
  <c r="AA950" i="1" s="1"/>
  <c r="Z949" i="1"/>
  <c r="Y942" i="1"/>
  <c r="AA942" i="1" s="1"/>
  <c r="Z941" i="1"/>
  <c r="Y929" i="1"/>
  <c r="AA929" i="1" s="1"/>
  <c r="Z917" i="1"/>
  <c r="Y913" i="1"/>
  <c r="AA913" i="1" s="1"/>
  <c r="Z909" i="1"/>
  <c r="Z904" i="1"/>
  <c r="Y902" i="1"/>
  <c r="AA902" i="1" s="1"/>
  <c r="Z901" i="1"/>
  <c r="Y894" i="1"/>
  <c r="AA894" i="1" s="1"/>
  <c r="Z893" i="1"/>
  <c r="Z885" i="1"/>
  <c r="Z880" i="1"/>
  <c r="Y878" i="1"/>
  <c r="AA878" i="1" s="1"/>
  <c r="Z869" i="1"/>
  <c r="Y854" i="1"/>
  <c r="AA854" i="1" s="1"/>
  <c r="Y830" i="1"/>
  <c r="AA830" i="1" s="1"/>
  <c r="Y822" i="1"/>
  <c r="AA822" i="1" s="1"/>
  <c r="Z821" i="1"/>
  <c r="Y807" i="1"/>
  <c r="AA807" i="1" s="1"/>
  <c r="Y783" i="1"/>
  <c r="AA783" i="1" s="1"/>
  <c r="Z758" i="1"/>
  <c r="Y751" i="1"/>
  <c r="AA751" i="1" s="1"/>
  <c r="Z740" i="1"/>
  <c r="Y713" i="1"/>
  <c r="AA713" i="1" s="1"/>
  <c r="Y357" i="1"/>
  <c r="AA357" i="1" s="1"/>
  <c r="Z348" i="1"/>
  <c r="Y303" i="1"/>
  <c r="AA303" i="1" s="1"/>
  <c r="Y256" i="1"/>
  <c r="AA256" i="1" s="1"/>
  <c r="Y247" i="1"/>
  <c r="AA247" i="1" s="1"/>
  <c r="Y217" i="1"/>
  <c r="AA217" i="1" s="1"/>
  <c r="Y168" i="1"/>
  <c r="AA168" i="1" s="1"/>
  <c r="Z141" i="1"/>
  <c r="Y111" i="1"/>
  <c r="AA111" i="1" s="1"/>
  <c r="Y44" i="1"/>
  <c r="AA44" i="1" s="1"/>
  <c r="Y432" i="1"/>
  <c r="AA432" i="1" s="1"/>
  <c r="Y416" i="1"/>
  <c r="AA416" i="1" s="1"/>
  <c r="Z1045" i="1"/>
  <c r="Z1003" i="1"/>
  <c r="Z614" i="1"/>
  <c r="Z572" i="1"/>
  <c r="Z461" i="1"/>
  <c r="Z455" i="1"/>
  <c r="Z382" i="1"/>
  <c r="Z319" i="1"/>
  <c r="Z308" i="1"/>
  <c r="Z1083" i="1"/>
  <c r="Z1027" i="1"/>
  <c r="Z992" i="1"/>
  <c r="Z984" i="1"/>
  <c r="Z1020" i="1"/>
  <c r="Y967" i="1"/>
  <c r="AA967" i="1" s="1"/>
  <c r="Y959" i="1"/>
  <c r="AA959" i="1" s="1"/>
  <c r="Y927" i="1"/>
  <c r="AA927" i="1" s="1"/>
  <c r="Y919" i="1"/>
  <c r="AA919" i="1" s="1"/>
  <c r="Y640" i="1"/>
  <c r="AA640" i="1" s="1"/>
  <c r="Z632" i="1"/>
  <c r="Z625" i="1"/>
  <c r="Y623" i="1"/>
  <c r="AA623" i="1" s="1"/>
  <c r="Y615" i="1"/>
  <c r="AA615" i="1" s="1"/>
  <c r="Y612" i="1"/>
  <c r="AA612" i="1" s="1"/>
  <c r="Y595" i="1"/>
  <c r="AA595" i="1" s="1"/>
  <c r="Y573" i="1"/>
  <c r="AA573" i="1" s="1"/>
  <c r="Z541" i="1"/>
  <c r="Z464" i="1"/>
  <c r="Z314" i="1"/>
  <c r="Y301" i="1"/>
  <c r="AA301" i="1" s="1"/>
  <c r="Z558" i="1"/>
  <c r="Z967" i="1"/>
  <c r="Y877" i="1"/>
  <c r="AA877" i="1" s="1"/>
  <c r="Z871" i="1"/>
  <c r="Y869" i="1"/>
  <c r="AA869" i="1" s="1"/>
  <c r="Y861" i="1"/>
  <c r="AA861" i="1" s="1"/>
  <c r="Y837" i="1"/>
  <c r="AA837" i="1" s="1"/>
  <c r="Z815" i="1"/>
  <c r="Y814" i="1"/>
  <c r="AA814" i="1" s="1"/>
  <c r="Y806" i="1"/>
  <c r="AA806" i="1" s="1"/>
  <c r="Y798" i="1"/>
  <c r="AA798" i="1" s="1"/>
  <c r="Y782" i="1"/>
  <c r="AA782" i="1" s="1"/>
  <c r="Y779" i="1"/>
  <c r="AA779" i="1" s="1"/>
  <c r="Y773" i="1"/>
  <c r="AA773" i="1" s="1"/>
  <c r="Y766" i="1"/>
  <c r="AA766" i="1" s="1"/>
  <c r="Z752" i="1"/>
  <c r="Y750" i="1"/>
  <c r="AA750" i="1" s="1"/>
  <c r="Y744" i="1"/>
  <c r="AA744" i="1" s="1"/>
  <c r="Z743" i="1"/>
  <c r="Y740" i="1"/>
  <c r="AA740" i="1" s="1"/>
  <c r="Z739" i="1"/>
  <c r="Z736" i="1"/>
  <c r="Z728" i="1"/>
  <c r="Y726" i="1"/>
  <c r="AA726" i="1" s="1"/>
  <c r="Y717" i="1"/>
  <c r="AA717" i="1" s="1"/>
  <c r="Z714" i="1"/>
  <c r="Y712" i="1"/>
  <c r="AA712" i="1" s="1"/>
  <c r="Z706" i="1"/>
  <c r="Y701" i="1"/>
  <c r="AA701" i="1" s="1"/>
  <c r="Y698" i="1"/>
  <c r="AA698" i="1" s="1"/>
  <c r="Z697" i="1"/>
  <c r="Z686" i="1"/>
  <c r="Z415" i="1"/>
  <c r="Z35" i="1"/>
  <c r="Y1083" i="1"/>
  <c r="AA1083" i="1" s="1"/>
  <c r="Z1055" i="1"/>
  <c r="Y1053" i="1"/>
  <c r="AA1053" i="1" s="1"/>
  <c r="Z1047" i="1"/>
  <c r="Z1029" i="1"/>
  <c r="Y1027" i="1"/>
  <c r="AA1027" i="1" s="1"/>
  <c r="Z1021" i="1"/>
  <c r="Y1011" i="1"/>
  <c r="AA1011" i="1" s="1"/>
  <c r="Z1005" i="1"/>
  <c r="Z978" i="1"/>
  <c r="Z970" i="1"/>
  <c r="Y627" i="1"/>
  <c r="AA627" i="1" s="1"/>
  <c r="Y591" i="1"/>
  <c r="AA591" i="1" s="1"/>
  <c r="Y588" i="1"/>
  <c r="AA588" i="1" s="1"/>
  <c r="Z584" i="1"/>
  <c r="Y577" i="1"/>
  <c r="AA577" i="1" s="1"/>
  <c r="Z527" i="1"/>
  <c r="Y488" i="1"/>
  <c r="AA488" i="1" s="1"/>
  <c r="Y424" i="1"/>
  <c r="AA424" i="1" s="1"/>
  <c r="Y669" i="1"/>
  <c r="AA669" i="1" s="1"/>
  <c r="Y602" i="1"/>
  <c r="AA602" i="1" s="1"/>
  <c r="Z482" i="1"/>
  <c r="Y292" i="1"/>
  <c r="AA292" i="1" s="1"/>
  <c r="Y276" i="1"/>
  <c r="AA276" i="1" s="1"/>
  <c r="Y250" i="1"/>
  <c r="AA250" i="1" s="1"/>
  <c r="Y225" i="1"/>
  <c r="AA225" i="1" s="1"/>
  <c r="Y203" i="1"/>
  <c r="AA203" i="1" s="1"/>
  <c r="Y187" i="1"/>
  <c r="AA187" i="1" s="1"/>
  <c r="Y179" i="1"/>
  <c r="AA179" i="1" s="1"/>
  <c r="Z178" i="1"/>
  <c r="Y171" i="1"/>
  <c r="AA171" i="1" s="1"/>
  <c r="Y153" i="1"/>
  <c r="AA153" i="1" s="1"/>
  <c r="Y145" i="1"/>
  <c r="AA145" i="1" s="1"/>
  <c r="Y115" i="1"/>
  <c r="AA115" i="1" s="1"/>
  <c r="Y101" i="1"/>
  <c r="AA101" i="1" s="1"/>
  <c r="Y92" i="1"/>
  <c r="AA92" i="1" s="1"/>
  <c r="Y89" i="1"/>
  <c r="AA89" i="1" s="1"/>
  <c r="Y83" i="1"/>
  <c r="AA83" i="1" s="1"/>
  <c r="Z912" i="1"/>
  <c r="Z888" i="1"/>
  <c r="Z827" i="1"/>
  <c r="Z796" i="1"/>
  <c r="Y730" i="1"/>
  <c r="AA730" i="1" s="1"/>
  <c r="Y708" i="1"/>
  <c r="AA708" i="1" s="1"/>
  <c r="Y705" i="1"/>
  <c r="AA705" i="1" s="1"/>
  <c r="Y688" i="1"/>
  <c r="AA688" i="1" s="1"/>
  <c r="Y478" i="1"/>
  <c r="AA478" i="1" s="1"/>
  <c r="Y916" i="1"/>
  <c r="AA916" i="1" s="1"/>
  <c r="Z601" i="1"/>
  <c r="Z593" i="1"/>
  <c r="Z587" i="1"/>
  <c r="Z576" i="1"/>
  <c r="Y566" i="1"/>
  <c r="AA566" i="1" s="1"/>
  <c r="Z561" i="1"/>
  <c r="Z517" i="1"/>
  <c r="Z511" i="1"/>
  <c r="Y504" i="1"/>
  <c r="AA504" i="1" s="1"/>
  <c r="Z490" i="1"/>
  <c r="Z315" i="1"/>
  <c r="Y661" i="1"/>
  <c r="AA661" i="1" s="1"/>
  <c r="Y455" i="1"/>
  <c r="AA455" i="1" s="1"/>
  <c r="Y284" i="1"/>
  <c r="AA284" i="1" s="1"/>
  <c r="Y262" i="1"/>
  <c r="AA262" i="1" s="1"/>
  <c r="Y214" i="1"/>
  <c r="AA214" i="1" s="1"/>
  <c r="Z928" i="1"/>
  <c r="Y857" i="1"/>
  <c r="AA857" i="1" s="1"/>
  <c r="Y841" i="1"/>
  <c r="AA841" i="1" s="1"/>
  <c r="Y794" i="1"/>
  <c r="AA794" i="1" s="1"/>
  <c r="Y786" i="1"/>
  <c r="AA786" i="1" s="1"/>
  <c r="Y742" i="1"/>
  <c r="AA742" i="1" s="1"/>
  <c r="Y538" i="1"/>
  <c r="AA538" i="1" s="1"/>
  <c r="Z509" i="1"/>
  <c r="Y502" i="1"/>
  <c r="AA502" i="1" s="1"/>
  <c r="Z493" i="1"/>
  <c r="Y486" i="1"/>
  <c r="AA486" i="1" s="1"/>
  <c r="Z477" i="1"/>
  <c r="Z451" i="1"/>
  <c r="Y322" i="1"/>
  <c r="AA322" i="1" s="1"/>
  <c r="Z321" i="1"/>
  <c r="Z158" i="1"/>
  <c r="Y644" i="1"/>
  <c r="AA644" i="1" s="1"/>
  <c r="Z590" i="1"/>
  <c r="Y585" i="1"/>
  <c r="AA585" i="1" s="1"/>
  <c r="Z514" i="1"/>
  <c r="Z503" i="1"/>
  <c r="Z487" i="1"/>
  <c r="Y472" i="1"/>
  <c r="AA472" i="1" s="1"/>
  <c r="Z465" i="1"/>
  <c r="Y335" i="1"/>
  <c r="AA335" i="1" s="1"/>
  <c r="Y461" i="1"/>
  <c r="AA461" i="1" s="1"/>
  <c r="Z434" i="1"/>
  <c r="Y300" i="1"/>
  <c r="AA300" i="1" s="1"/>
  <c r="Y259" i="1"/>
  <c r="AA259" i="1" s="1"/>
  <c r="Y873" i="1"/>
  <c r="AA873" i="1" s="1"/>
  <c r="Z741" i="1"/>
  <c r="Y719" i="1"/>
  <c r="AA719" i="1" s="1"/>
  <c r="Z610" i="1"/>
  <c r="Z559" i="1"/>
  <c r="Z524" i="1"/>
  <c r="Y494" i="1"/>
  <c r="AA494" i="1" s="1"/>
  <c r="Y528" i="1"/>
  <c r="AA528" i="1" s="1"/>
  <c r="Y515" i="1"/>
  <c r="AA515" i="1" s="1"/>
  <c r="Z506" i="1"/>
  <c r="Y440" i="1"/>
  <c r="AA440" i="1" s="1"/>
  <c r="Z423" i="1"/>
  <c r="Z296" i="1"/>
  <c r="Y534" i="1"/>
  <c r="AA534" i="1" s="1"/>
  <c r="Z843" i="1"/>
  <c r="Z785" i="1"/>
  <c r="Y762" i="1"/>
  <c r="AA762" i="1" s="1"/>
  <c r="Y754" i="1"/>
  <c r="AA754" i="1" s="1"/>
  <c r="Y738" i="1"/>
  <c r="AA738" i="1" s="1"/>
  <c r="Z649" i="1"/>
  <c r="Z521" i="1"/>
  <c r="Y510" i="1"/>
  <c r="AA510" i="1" s="1"/>
  <c r="Z469" i="1"/>
  <c r="Z463" i="1"/>
  <c r="Y403" i="1"/>
  <c r="AA403" i="1" s="1"/>
  <c r="Y396" i="1"/>
  <c r="AA396" i="1" s="1"/>
  <c r="Y389" i="1"/>
  <c r="AA389" i="1" s="1"/>
  <c r="Z305" i="1"/>
  <c r="Z294" i="1"/>
  <c r="Z275" i="1"/>
  <c r="Y269" i="1"/>
  <c r="AA269" i="1" s="1"/>
  <c r="Z268" i="1"/>
  <c r="Z265" i="1"/>
  <c r="Z258" i="1"/>
  <c r="Z252" i="1"/>
  <c r="Y241" i="1"/>
  <c r="AA241" i="1" s="1"/>
  <c r="Y234" i="1"/>
  <c r="AA234" i="1" s="1"/>
  <c r="Z233" i="1"/>
  <c r="Z230" i="1"/>
  <c r="Z224" i="1"/>
  <c r="Z219" i="1"/>
  <c r="Z216" i="1"/>
  <c r="Y209" i="1"/>
  <c r="AA209" i="1" s="1"/>
  <c r="Z200" i="1"/>
  <c r="Y198" i="1"/>
  <c r="AA198" i="1" s="1"/>
  <c r="Z197" i="1"/>
  <c r="Z192" i="1"/>
  <c r="Y190" i="1"/>
  <c r="AA190" i="1" s="1"/>
  <c r="Z189" i="1"/>
  <c r="Z184" i="1"/>
  <c r="Y182" i="1"/>
  <c r="AA182" i="1" s="1"/>
  <c r="Z181" i="1"/>
  <c r="Z176" i="1"/>
  <c r="Y174" i="1"/>
  <c r="AA174" i="1" s="1"/>
  <c r="Z173" i="1"/>
  <c r="Z170" i="1"/>
  <c r="Z167" i="1"/>
  <c r="Y165" i="1"/>
  <c r="AA165" i="1" s="1"/>
  <c r="Z164" i="1"/>
  <c r="Y156" i="1"/>
  <c r="AA156" i="1" s="1"/>
  <c r="Z155" i="1"/>
  <c r="Y149" i="1"/>
  <c r="AA149" i="1" s="1"/>
  <c r="Z148" i="1"/>
  <c r="Y131" i="1"/>
  <c r="AA131" i="1" s="1"/>
  <c r="Z130" i="1"/>
  <c r="Y127" i="1"/>
  <c r="AA127" i="1" s="1"/>
  <c r="Z126" i="1"/>
  <c r="Z122" i="1"/>
  <c r="Z118" i="1"/>
  <c r="Z114" i="1"/>
  <c r="Z110" i="1"/>
  <c r="Y108" i="1"/>
  <c r="AA108" i="1" s="1"/>
  <c r="Z107" i="1"/>
  <c r="Y105" i="1"/>
  <c r="AA105" i="1" s="1"/>
  <c r="Z104" i="1"/>
  <c r="Y98" i="1"/>
  <c r="AA98" i="1" s="1"/>
  <c r="Z97" i="1"/>
  <c r="Y95" i="1"/>
  <c r="AA95" i="1" s="1"/>
  <c r="Z94" i="1"/>
  <c r="Z91" i="1"/>
  <c r="Z88" i="1"/>
  <c r="Y86" i="1"/>
  <c r="AA86" i="1" s="1"/>
  <c r="Z85" i="1"/>
  <c r="Z80" i="1"/>
  <c r="Y78" i="1"/>
  <c r="AA78" i="1" s="1"/>
  <c r="Z77" i="1"/>
  <c r="Z72" i="1"/>
  <c r="Y70" i="1"/>
  <c r="AA70" i="1" s="1"/>
  <c r="Z69" i="1"/>
  <c r="Z64" i="1"/>
  <c r="Y62" i="1"/>
  <c r="AA62" i="1" s="1"/>
  <c r="Z61" i="1"/>
  <c r="Z58" i="1"/>
  <c r="Y56" i="1"/>
  <c r="AA56" i="1" s="1"/>
  <c r="Z55" i="1"/>
  <c r="Y52" i="1"/>
  <c r="AA52" i="1" s="1"/>
  <c r="Z51" i="1"/>
  <c r="Y48" i="1"/>
  <c r="AA48" i="1" s="1"/>
  <c r="Z43" i="1"/>
  <c r="Y33" i="1"/>
  <c r="AA33" i="1" s="1"/>
  <c r="Z32" i="1"/>
  <c r="Y29" i="1"/>
  <c r="AA29" i="1" s="1"/>
  <c r="Z28" i="1"/>
  <c r="Y25" i="1"/>
  <c r="AA25" i="1" s="1"/>
  <c r="Y21" i="1"/>
  <c r="AA21" i="1" s="1"/>
  <c r="Z20" i="1"/>
  <c r="Z1096" i="1"/>
  <c r="Z1040" i="1"/>
  <c r="Y1015" i="1"/>
  <c r="AA1015" i="1" s="1"/>
  <c r="Z934" i="1"/>
  <c r="Z721" i="1"/>
  <c r="Z699" i="1"/>
  <c r="Z647" i="1"/>
  <c r="Z639" i="1"/>
  <c r="Y526" i="1"/>
  <c r="AA526" i="1" s="1"/>
  <c r="Y433" i="1"/>
  <c r="AA433" i="1" s="1"/>
  <c r="Y266" i="1"/>
  <c r="AA266" i="1" s="1"/>
  <c r="Z351" i="1"/>
  <c r="Z950" i="1"/>
  <c r="Z799" i="1"/>
  <c r="Y743" i="1"/>
  <c r="AA743" i="1" s="1"/>
  <c r="Y706" i="1"/>
  <c r="AA706" i="1" s="1"/>
  <c r="Y360" i="1"/>
  <c r="AA360" i="1" s="1"/>
  <c r="Z281" i="1"/>
  <c r="Y956" i="1"/>
  <c r="AA956" i="1" s="1"/>
  <c r="Y932" i="1"/>
  <c r="AA932" i="1" s="1"/>
  <c r="Y1063" i="1"/>
  <c r="AA1063" i="1" s="1"/>
  <c r="Z705" i="1"/>
  <c r="Z448" i="1"/>
  <c r="Y406" i="1"/>
  <c r="AA406" i="1" s="1"/>
  <c r="Y379" i="1"/>
  <c r="AA379" i="1" s="1"/>
  <c r="Y352" i="1"/>
  <c r="AA352" i="1" s="1"/>
  <c r="Y341" i="1"/>
  <c r="AA341" i="1" s="1"/>
  <c r="Y314" i="1"/>
  <c r="AA314" i="1" s="1"/>
  <c r="Z278" i="1"/>
  <c r="Z1054" i="1"/>
  <c r="Z1012" i="1"/>
  <c r="Y986" i="1"/>
  <c r="AA986" i="1" s="1"/>
  <c r="Z865" i="1"/>
  <c r="Z1099" i="1"/>
  <c r="Y1080" i="1"/>
  <c r="AA1080" i="1" s="1"/>
  <c r="Z1018" i="1"/>
  <c r="Z794" i="1"/>
  <c r="Y709" i="1"/>
  <c r="AA709" i="1" s="1"/>
  <c r="Y689" i="1"/>
  <c r="AA689" i="1" s="1"/>
  <c r="Y670" i="1"/>
  <c r="AA670" i="1" s="1"/>
  <c r="Z594" i="1"/>
  <c r="Z488" i="1"/>
  <c r="Z1092" i="1"/>
  <c r="Y1058" i="1"/>
  <c r="AA1058" i="1" s="1"/>
  <c r="Z1052" i="1"/>
  <c r="Y1008" i="1"/>
  <c r="AA1008" i="1" s="1"/>
  <c r="Z778" i="1"/>
  <c r="Y770" i="1"/>
  <c r="AA770" i="1" s="1"/>
  <c r="Z716" i="1"/>
  <c r="Z672" i="1"/>
  <c r="Z551" i="1"/>
  <c r="Z543" i="1"/>
  <c r="Y505" i="1"/>
  <c r="AA505" i="1" s="1"/>
  <c r="Z13" i="1"/>
  <c r="Y1072" i="1"/>
  <c r="AA1072" i="1" s="1"/>
  <c r="Y1064" i="1"/>
  <c r="AA1064" i="1" s="1"/>
  <c r="Z1058" i="1"/>
  <c r="Z1024" i="1"/>
  <c r="Y995" i="1"/>
  <c r="AA995" i="1" s="1"/>
  <c r="Y979" i="1"/>
  <c r="AA979" i="1" s="1"/>
  <c r="Z946" i="1"/>
  <c r="Z930" i="1"/>
  <c r="Z922" i="1"/>
  <c r="Y920" i="1"/>
  <c r="AA920" i="1" s="1"/>
  <c r="Z914" i="1"/>
  <c r="Y912" i="1"/>
  <c r="AA912" i="1" s="1"/>
  <c r="Z906" i="1"/>
  <c r="Y896" i="1"/>
  <c r="AA896" i="1" s="1"/>
  <c r="Y888" i="1"/>
  <c r="AA888" i="1" s="1"/>
  <c r="Z882" i="1"/>
  <c r="Y1105" i="1"/>
  <c r="AA1105" i="1" s="1"/>
  <c r="Y13" i="1"/>
  <c r="AA13" i="1" s="1"/>
  <c r="Z1060" i="1"/>
  <c r="Y1050" i="1"/>
  <c r="AA1050" i="1" s="1"/>
  <c r="Z1026" i="1"/>
  <c r="Y968" i="1"/>
  <c r="AA968" i="1" s="1"/>
  <c r="Z964" i="1"/>
  <c r="Z956" i="1"/>
  <c r="Z746" i="1"/>
  <c r="Z554" i="1"/>
  <c r="Z496" i="1"/>
  <c r="Y489" i="1"/>
  <c r="AA489" i="1" s="1"/>
  <c r="Z212" i="1"/>
  <c r="Z185" i="1"/>
  <c r="Y1093" i="1"/>
  <c r="AA1093" i="1" s="1"/>
  <c r="Y1066" i="1"/>
  <c r="AA1066" i="1" s="1"/>
  <c r="Y1042" i="1"/>
  <c r="AA1042" i="1" s="1"/>
  <c r="Y1016" i="1"/>
  <c r="AA1016" i="1" s="1"/>
  <c r="Y1000" i="1"/>
  <c r="AA1000" i="1" s="1"/>
  <c r="Y850" i="1"/>
  <c r="AA850" i="1" s="1"/>
  <c r="Z725" i="1"/>
  <c r="Z602" i="1"/>
  <c r="Z591" i="1"/>
  <c r="Z537" i="1"/>
  <c r="Y497" i="1"/>
  <c r="AA497" i="1" s="1"/>
  <c r="Z877" i="1"/>
  <c r="Z874" i="1"/>
  <c r="Z814" i="1"/>
  <c r="Y756" i="1"/>
  <c r="AA756" i="1" s="1"/>
  <c r="Z755" i="1"/>
  <c r="Y741" i="1"/>
  <c r="AA741" i="1" s="1"/>
  <c r="Z734" i="1"/>
  <c r="Y732" i="1"/>
  <c r="AA732" i="1" s="1"/>
  <c r="Z726" i="1"/>
  <c r="Z717" i="1"/>
  <c r="Y702" i="1"/>
  <c r="AA702" i="1" s="1"/>
  <c r="Z692" i="1"/>
  <c r="Y690" i="1"/>
  <c r="AA690" i="1" s="1"/>
  <c r="Z689" i="1"/>
  <c r="Y682" i="1"/>
  <c r="AA682" i="1" s="1"/>
  <c r="Z681" i="1"/>
  <c r="Y679" i="1"/>
  <c r="AA679" i="1" s="1"/>
  <c r="Z678" i="1"/>
  <c r="Z673" i="1"/>
  <c r="Y666" i="1"/>
  <c r="AA666" i="1" s="1"/>
  <c r="Z665" i="1"/>
  <c r="Y663" i="1"/>
  <c r="AA663" i="1" s="1"/>
  <c r="Z662" i="1"/>
  <c r="Y658" i="1"/>
  <c r="AA658" i="1" s="1"/>
  <c r="Z657" i="1"/>
  <c r="Z654" i="1"/>
  <c r="Y652" i="1"/>
  <c r="AA652" i="1" s="1"/>
  <c r="Z648" i="1"/>
  <c r="Y646" i="1"/>
  <c r="AA646" i="1" s="1"/>
  <c r="Z645" i="1"/>
  <c r="Y641" i="1"/>
  <c r="AA641" i="1" s="1"/>
  <c r="Z635" i="1"/>
  <c r="Y629" i="1"/>
  <c r="AA629" i="1" s="1"/>
  <c r="Y624" i="1"/>
  <c r="AA624" i="1" s="1"/>
  <c r="Z623" i="1"/>
  <c r="Y621" i="1"/>
  <c r="AA621" i="1" s="1"/>
  <c r="Z620" i="1"/>
  <c r="Y604" i="1"/>
  <c r="AA604" i="1" s="1"/>
  <c r="Z603" i="1"/>
  <c r="Z595" i="1"/>
  <c r="Y593" i="1"/>
  <c r="AA593" i="1" s="1"/>
  <c r="Z1064" i="1"/>
  <c r="Y988" i="1"/>
  <c r="AA988" i="1" s="1"/>
  <c r="Z1017" i="1"/>
  <c r="Z963" i="1"/>
  <c r="Z953" i="1"/>
  <c r="Z945" i="1"/>
  <c r="Y941" i="1"/>
  <c r="AA941" i="1" s="1"/>
  <c r="Z940" i="1"/>
  <c r="Y938" i="1"/>
  <c r="AA938" i="1" s="1"/>
  <c r="Z935" i="1"/>
  <c r="Z932" i="1"/>
  <c r="Z929" i="1"/>
  <c r="Z927" i="1"/>
  <c r="Z924" i="1"/>
  <c r="Z919" i="1"/>
  <c r="Y914" i="1"/>
  <c r="AA914" i="1" s="1"/>
  <c r="Z911" i="1"/>
  <c r="Z908" i="1"/>
  <c r="Y906" i="1"/>
  <c r="AA906" i="1" s="1"/>
  <c r="Z903" i="1"/>
  <c r="Y898" i="1"/>
  <c r="AA898" i="1" s="1"/>
  <c r="Z897" i="1"/>
  <c r="Z895" i="1"/>
  <c r="Y893" i="1"/>
  <c r="AA893" i="1" s="1"/>
  <c r="Z892" i="1"/>
  <c r="Y890" i="1"/>
  <c r="AA890" i="1" s="1"/>
  <c r="Z884" i="1"/>
  <c r="Y882" i="1"/>
  <c r="AA882" i="1" s="1"/>
  <c r="Z881" i="1"/>
  <c r="Z879" i="1"/>
  <c r="Z876" i="1"/>
  <c r="Z873" i="1"/>
  <c r="Y871" i="1"/>
  <c r="AA871" i="1" s="1"/>
  <c r="Z870" i="1"/>
  <c r="Y866" i="1"/>
  <c r="AA866" i="1" s="1"/>
  <c r="Y863" i="1"/>
  <c r="AA863" i="1" s="1"/>
  <c r="Z862" i="1"/>
  <c r="Z860" i="1"/>
  <c r="Y858" i="1"/>
  <c r="AA858" i="1" s="1"/>
  <c r="Y855" i="1"/>
  <c r="AA855" i="1" s="1"/>
  <c r="Z852" i="1"/>
  <c r="Z846" i="1"/>
  <c r="Y839" i="1"/>
  <c r="AA839" i="1" s="1"/>
  <c r="Z838" i="1"/>
  <c r="Z836" i="1"/>
  <c r="Y831" i="1"/>
  <c r="AA831" i="1" s="1"/>
  <c r="Z830" i="1"/>
  <c r="Z813" i="1"/>
  <c r="Y792" i="1"/>
  <c r="AA792" i="1" s="1"/>
  <c r="Z791" i="1"/>
  <c r="Z775" i="1"/>
  <c r="Z12" i="1"/>
  <c r="Y768" i="1"/>
  <c r="AA768" i="1" s="1"/>
  <c r="Y760" i="1"/>
  <c r="AA760" i="1" s="1"/>
  <c r="Z759" i="1"/>
  <c r="Y736" i="1"/>
  <c r="AA736" i="1" s="1"/>
  <c r="Y731" i="1"/>
  <c r="AA731" i="1" s="1"/>
  <c r="Y695" i="1"/>
  <c r="AA695" i="1" s="1"/>
  <c r="Y645" i="1"/>
  <c r="AA645" i="1" s="1"/>
  <c r="Y642" i="1"/>
  <c r="AA642" i="1" s="1"/>
  <c r="Z637" i="1"/>
  <c r="Y617" i="1"/>
  <c r="AA617" i="1" s="1"/>
  <c r="Z585" i="1"/>
  <c r="Y575" i="1"/>
  <c r="AA575" i="1" s="1"/>
  <c r="Z564" i="1"/>
  <c r="Z556" i="1"/>
  <c r="Y552" i="1"/>
  <c r="AA552" i="1" s="1"/>
  <c r="Y549" i="1"/>
  <c r="AA549" i="1" s="1"/>
  <c r="Z548" i="1"/>
  <c r="Z540" i="1"/>
  <c r="Y443" i="1"/>
  <c r="AA443" i="1" s="1"/>
  <c r="Z442" i="1"/>
  <c r="Z440" i="1"/>
  <c r="Y438" i="1"/>
  <c r="AA438" i="1" s="1"/>
  <c r="Z437" i="1"/>
  <c r="Y435" i="1"/>
  <c r="AA435" i="1" s="1"/>
  <c r="Z432" i="1"/>
  <c r="Y430" i="1"/>
  <c r="AA430" i="1" s="1"/>
  <c r="Z429" i="1"/>
  <c r="Y427" i="1"/>
  <c r="AA427" i="1" s="1"/>
  <c r="Z426" i="1"/>
  <c r="Z424" i="1"/>
  <c r="Y422" i="1"/>
  <c r="AA422" i="1" s="1"/>
  <c r="Z421" i="1"/>
  <c r="Y419" i="1"/>
  <c r="AA419" i="1" s="1"/>
  <c r="Z418" i="1"/>
  <c r="Z416" i="1"/>
  <c r="Z413" i="1"/>
  <c r="Y476" i="1"/>
  <c r="AA476" i="1" s="1"/>
  <c r="Y304" i="1"/>
  <c r="AA304" i="1" s="1"/>
  <c r="Z177" i="1"/>
  <c r="Z1049" i="1"/>
  <c r="Z996" i="1"/>
  <c r="Z980" i="1"/>
  <c r="Y795" i="1"/>
  <c r="AA795" i="1" s="1"/>
  <c r="Z694" i="1"/>
  <c r="Z653" i="1"/>
  <c r="Z900" i="1"/>
  <c r="Z656" i="1"/>
  <c r="Y635" i="1"/>
  <c r="AA635" i="1" s="1"/>
  <c r="Z611" i="1"/>
  <c r="Y586" i="1"/>
  <c r="AA586" i="1" s="1"/>
  <c r="Z1032" i="1"/>
  <c r="Z1057" i="1"/>
  <c r="Z1031" i="1"/>
  <c r="Z1023" i="1"/>
  <c r="Z857" i="1"/>
  <c r="Z738" i="1"/>
  <c r="Z711" i="1"/>
  <c r="Z569" i="1"/>
  <c r="Y446" i="1"/>
  <c r="AA446" i="1" s="1"/>
  <c r="Z999" i="1"/>
  <c r="Z961" i="1"/>
  <c r="Z868" i="1"/>
  <c r="Y803" i="1"/>
  <c r="AA803" i="1" s="1"/>
  <c r="Z566" i="1"/>
  <c r="Z972" i="1"/>
  <c r="Z749" i="1"/>
  <c r="Z700" i="1"/>
  <c r="Z619" i="1"/>
  <c r="Z588" i="1"/>
  <c r="Z445" i="1"/>
  <c r="Y1095" i="1"/>
  <c r="AA1095" i="1" s="1"/>
  <c r="Y1059" i="1"/>
  <c r="AA1059" i="1" s="1"/>
  <c r="Y1043" i="1"/>
  <c r="AA1043" i="1" s="1"/>
  <c r="Y1033" i="1"/>
  <c r="AA1033" i="1" s="1"/>
  <c r="Z1016" i="1"/>
  <c r="Y910" i="1"/>
  <c r="AA910" i="1" s="1"/>
  <c r="Z737" i="1"/>
  <c r="Z729" i="1"/>
  <c r="Z718" i="1"/>
  <c r="Z704" i="1"/>
  <c r="Y1055" i="1"/>
  <c r="AA1055" i="1" s="1"/>
  <c r="Y1013" i="1"/>
  <c r="AA1013" i="1" s="1"/>
  <c r="Y1005" i="1"/>
  <c r="AA1005" i="1" s="1"/>
  <c r="Y997" i="1"/>
  <c r="AA997" i="1" s="1"/>
  <c r="Y970" i="1"/>
  <c r="AA970" i="1" s="1"/>
  <c r="Z742" i="1"/>
  <c r="Z730" i="1"/>
  <c r="Y728" i="1"/>
  <c r="AA728" i="1" s="1"/>
  <c r="Z724" i="1"/>
  <c r="Y714" i="1"/>
  <c r="AA714" i="1" s="1"/>
  <c r="Z708" i="1"/>
  <c r="Y703" i="1"/>
  <c r="AA703" i="1" s="1"/>
  <c r="Y694" i="1"/>
  <c r="AA694" i="1" s="1"/>
  <c r="Z693" i="1"/>
  <c r="Y691" i="1"/>
  <c r="AA691" i="1" s="1"/>
  <c r="Z690" i="1"/>
  <c r="Z688" i="1"/>
  <c r="Y686" i="1"/>
  <c r="AA686" i="1" s="1"/>
  <c r="Z682" i="1"/>
  <c r="Y680" i="1"/>
  <c r="AA680" i="1" s="1"/>
  <c r="Z677" i="1"/>
  <c r="Y675" i="1"/>
  <c r="AA675" i="1" s="1"/>
  <c r="Z674" i="1"/>
  <c r="Y672" i="1"/>
  <c r="AA672" i="1" s="1"/>
  <c r="Z671" i="1"/>
  <c r="Z669" i="1"/>
  <c r="Y664" i="1"/>
  <c r="AA664" i="1" s="1"/>
  <c r="Z663" i="1"/>
  <c r="Y659" i="1"/>
  <c r="AA659" i="1" s="1"/>
  <c r="Y656" i="1"/>
  <c r="AA656" i="1" s="1"/>
  <c r="Z655" i="1"/>
  <c r="Y653" i="1"/>
  <c r="AA653" i="1" s="1"/>
  <c r="Z652" i="1"/>
  <c r="Y650" i="1"/>
  <c r="AA650" i="1" s="1"/>
  <c r="Z644" i="1"/>
  <c r="Z641" i="1"/>
  <c r="Z634" i="1"/>
  <c r="Y611" i="1"/>
  <c r="AA611" i="1" s="1"/>
  <c r="Y597" i="1"/>
  <c r="AA597" i="1" s="1"/>
  <c r="Z596" i="1"/>
  <c r="Z410" i="1"/>
  <c r="Z407" i="1"/>
  <c r="Z405" i="1"/>
  <c r="Y402" i="1"/>
  <c r="AA402" i="1" s="1"/>
  <c r="Z401" i="1"/>
  <c r="Y399" i="1"/>
  <c r="AA399" i="1" s="1"/>
  <c r="Z395" i="1"/>
  <c r="Z394" i="1"/>
  <c r="Z391" i="1"/>
  <c r="Y388" i="1"/>
  <c r="AA388" i="1" s="1"/>
  <c r="Z387" i="1"/>
  <c r="Y385" i="1"/>
  <c r="AA385" i="1" s="1"/>
  <c r="Z384" i="1"/>
  <c r="Z381" i="1"/>
  <c r="Z380" i="1"/>
  <c r="Y378" i="1"/>
  <c r="AA378" i="1" s="1"/>
  <c r="Z377" i="1"/>
  <c r="Z375" i="1"/>
  <c r="Y370" i="1"/>
  <c r="AA370" i="1" s="1"/>
  <c r="Z369" i="1"/>
  <c r="Z364" i="1"/>
  <c r="Z361" i="1"/>
  <c r="Z359" i="1"/>
  <c r="Z356" i="1"/>
  <c r="Y354" i="1"/>
  <c r="AA354" i="1" s="1"/>
  <c r="Z353" i="1"/>
  <c r="Y349" i="1"/>
  <c r="AA349" i="1" s="1"/>
  <c r="Z345" i="1"/>
  <c r="Y343" i="1"/>
  <c r="AA343" i="1" s="1"/>
  <c r="Z342" i="1"/>
  <c r="Z340" i="1"/>
  <c r="Z337" i="1"/>
  <c r="Z334" i="1"/>
  <c r="Y332" i="1"/>
  <c r="AA332" i="1" s="1"/>
  <c r="Y316" i="1"/>
  <c r="AA316" i="1" s="1"/>
  <c r="Z313" i="1"/>
  <c r="Z310" i="1"/>
  <c r="Y308" i="1"/>
  <c r="AA308" i="1" s="1"/>
  <c r="Z307" i="1"/>
  <c r="Y305" i="1"/>
  <c r="AA305" i="1" s="1"/>
  <c r="Y734" i="1"/>
  <c r="AA734" i="1" s="1"/>
  <c r="Z560" i="1"/>
  <c r="Z557" i="1"/>
  <c r="Z546" i="1"/>
  <c r="Y539" i="1"/>
  <c r="AA539" i="1" s="1"/>
  <c r="Y535" i="1"/>
  <c r="AA535" i="1" s="1"/>
  <c r="Z529" i="1"/>
  <c r="Z526" i="1"/>
  <c r="Z525" i="1"/>
  <c r="Y523" i="1"/>
  <c r="AA523" i="1" s="1"/>
  <c r="Z522" i="1"/>
  <c r="Y519" i="1"/>
  <c r="AA519" i="1" s="1"/>
  <c r="Z518" i="1"/>
  <c r="Z516" i="1"/>
  <c r="Z513" i="1"/>
  <c r="Z510" i="1"/>
  <c r="Y508" i="1"/>
  <c r="AA508" i="1" s="1"/>
  <c r="Z507" i="1"/>
  <c r="Z505" i="1"/>
  <c r="Y500" i="1"/>
  <c r="AA500" i="1" s="1"/>
  <c r="Z499" i="1"/>
  <c r="Z497" i="1"/>
  <c r="Z494" i="1"/>
  <c r="Y492" i="1"/>
  <c r="AA492" i="1" s="1"/>
  <c r="Z491" i="1"/>
  <c r="Z486" i="1"/>
  <c r="Z483" i="1"/>
  <c r="Z480" i="1"/>
  <c r="Z475" i="1"/>
  <c r="Y473" i="1"/>
  <c r="AA473" i="1" s="1"/>
  <c r="Z472" i="1"/>
  <c r="Z470" i="1"/>
  <c r="Z466" i="1"/>
  <c r="Z458" i="1"/>
  <c r="Y449" i="1"/>
  <c r="AA449" i="1" s="1"/>
  <c r="Z573" i="1"/>
  <c r="Z687" i="1"/>
  <c r="Y685" i="1"/>
  <c r="AA685" i="1" s="1"/>
  <c r="Z684" i="1"/>
  <c r="Z668" i="1"/>
  <c r="Z660" i="1"/>
  <c r="Z651" i="1"/>
  <c r="Z643" i="1"/>
  <c r="Z626" i="1"/>
  <c r="Z598" i="1"/>
  <c r="Y1052" i="1"/>
  <c r="AA1052" i="1" s="1"/>
  <c r="Y1044" i="1"/>
  <c r="AA1044" i="1" s="1"/>
  <c r="Z1030" i="1"/>
  <c r="Y991" i="1"/>
  <c r="AA991" i="1" s="1"/>
  <c r="Z990" i="1"/>
  <c r="Z987" i="1"/>
  <c r="Z985" i="1"/>
  <c r="Z979" i="1"/>
  <c r="Y972" i="1"/>
  <c r="AA972" i="1" s="1"/>
  <c r="Z969" i="1"/>
  <c r="Y964" i="1"/>
  <c r="AA964" i="1" s="1"/>
  <c r="Z958" i="1"/>
  <c r="Z955" i="1"/>
  <c r="Z952" i="1"/>
  <c r="Y948" i="1"/>
  <c r="AA948" i="1" s="1"/>
  <c r="Z947" i="1"/>
  <c r="Z942" i="1"/>
  <c r="Z939" i="1"/>
  <c r="Y937" i="1"/>
  <c r="AA937" i="1" s="1"/>
  <c r="Z915" i="1"/>
  <c r="Y905" i="1"/>
  <c r="AA905" i="1" s="1"/>
  <c r="Y900" i="1"/>
  <c r="AA900" i="1" s="1"/>
  <c r="Y892" i="1"/>
  <c r="AA892" i="1" s="1"/>
  <c r="Y889" i="1"/>
  <c r="AA889" i="1" s="1"/>
  <c r="Z886" i="1"/>
  <c r="Y884" i="1"/>
  <c r="AA884" i="1" s="1"/>
  <c r="Z883" i="1"/>
  <c r="Y881" i="1"/>
  <c r="AA881" i="1" s="1"/>
  <c r="Z878" i="1"/>
  <c r="Z875" i="1"/>
  <c r="Z872" i="1"/>
  <c r="Y870" i="1"/>
  <c r="AA870" i="1" s="1"/>
  <c r="Z867" i="1"/>
  <c r="Z856" i="1"/>
  <c r="Z853" i="1"/>
  <c r="Z840" i="1"/>
  <c r="Z835" i="1"/>
  <c r="Y833" i="1"/>
  <c r="AA833" i="1" s="1"/>
  <c r="Z832" i="1"/>
  <c r="Z824" i="1"/>
  <c r="Z819" i="1"/>
  <c r="Z816" i="1"/>
  <c r="Z806" i="1"/>
  <c r="Z790" i="1"/>
  <c r="Z782" i="1"/>
  <c r="Z764" i="1"/>
  <c r="Z761" i="1"/>
  <c r="Y759" i="1"/>
  <c r="AA759" i="1" s="1"/>
  <c r="Z753" i="1"/>
  <c r="Z744" i="1"/>
  <c r="Z570" i="1"/>
  <c r="Y253" i="1"/>
  <c r="AA253" i="1" s="1"/>
  <c r="Y195" i="1"/>
  <c r="AA195" i="1" s="1"/>
  <c r="Y564" i="1"/>
  <c r="AA564" i="1" s="1"/>
  <c r="Z553" i="1"/>
  <c r="Z550" i="1"/>
  <c r="Y548" i="1"/>
  <c r="AA548" i="1" s="1"/>
  <c r="Y537" i="1"/>
  <c r="AA537" i="1" s="1"/>
  <c r="Z535" i="1"/>
  <c r="Z533" i="1"/>
  <c r="Y524" i="1"/>
  <c r="AA524" i="1" s="1"/>
  <c r="Y512" i="1"/>
  <c r="AA512" i="1" s="1"/>
  <c r="Z484" i="1"/>
  <c r="Z479" i="1"/>
  <c r="Y477" i="1"/>
  <c r="AA477" i="1" s="1"/>
  <c r="Z468" i="1"/>
  <c r="Y463" i="1"/>
  <c r="AA463" i="1" s="1"/>
  <c r="Y460" i="1"/>
  <c r="AA460" i="1" s="1"/>
  <c r="Z459" i="1"/>
  <c r="Z457" i="1"/>
  <c r="Z456" i="1"/>
  <c r="Y454" i="1"/>
  <c r="AA454" i="1" s="1"/>
  <c r="Y450" i="1"/>
  <c r="AA450" i="1" s="1"/>
  <c r="Z449" i="1"/>
  <c r="Z446" i="1"/>
  <c r="Z444" i="1"/>
  <c r="Z443" i="1"/>
  <c r="Y436" i="1"/>
  <c r="AA436" i="1" s="1"/>
  <c r="Z435" i="1"/>
  <c r="Z433" i="1"/>
  <c r="Y431" i="1"/>
  <c r="AA431" i="1" s="1"/>
  <c r="Z430" i="1"/>
  <c r="Y428" i="1"/>
  <c r="AA428" i="1" s="1"/>
  <c r="Z427" i="1"/>
  <c r="Z422" i="1"/>
  <c r="Y420" i="1"/>
  <c r="AA420" i="1" s="1"/>
  <c r="Z417" i="1"/>
  <c r="Z414" i="1"/>
  <c r="Z411" i="1"/>
  <c r="Y409" i="1"/>
  <c r="AA409" i="1" s="1"/>
  <c r="Z408" i="1"/>
  <c r="Z406" i="1"/>
  <c r="Y404" i="1"/>
  <c r="AA404" i="1" s="1"/>
  <c r="Z400" i="1"/>
  <c r="Y397" i="1"/>
  <c r="AA397" i="1" s="1"/>
  <c r="Z396" i="1"/>
  <c r="Z392" i="1"/>
  <c r="Y390" i="1"/>
  <c r="AA390" i="1" s="1"/>
  <c r="Z389" i="1"/>
  <c r="Z388" i="1"/>
  <c r="Y386" i="1"/>
  <c r="AA386" i="1" s="1"/>
  <c r="Z385" i="1"/>
  <c r="Z379" i="1"/>
  <c r="Z378" i="1"/>
  <c r="Z376" i="1"/>
  <c r="Y374" i="1"/>
  <c r="AA374" i="1" s="1"/>
  <c r="Z373" i="1"/>
  <c r="Y371" i="1"/>
  <c r="AA371" i="1" s="1"/>
  <c r="Z370" i="1"/>
  <c r="Z368" i="1"/>
  <c r="Y366" i="1"/>
  <c r="AA366" i="1" s="1"/>
  <c r="Z365" i="1"/>
  <c r="Y363" i="1"/>
  <c r="AA363" i="1" s="1"/>
  <c r="Z362" i="1"/>
  <c r="Z360" i="1"/>
  <c r="Y358" i="1"/>
  <c r="AA358" i="1" s="1"/>
  <c r="Z357" i="1"/>
  <c r="Y355" i="1"/>
  <c r="AA355" i="1" s="1"/>
  <c r="Z354" i="1"/>
  <c r="Z352" i="1"/>
  <c r="Y350" i="1"/>
  <c r="AA350" i="1" s="1"/>
  <c r="Y347" i="1"/>
  <c r="AA347" i="1" s="1"/>
  <c r="Z346" i="1"/>
  <c r="Y344" i="1"/>
  <c r="AA344" i="1" s="1"/>
  <c r="Z343" i="1"/>
  <c r="Z335" i="1"/>
  <c r="Z330" i="1"/>
  <c r="Y328" i="1"/>
  <c r="AA328" i="1" s="1"/>
  <c r="Z327" i="1"/>
  <c r="Y325" i="1"/>
  <c r="AA325" i="1" s="1"/>
  <c r="Z324" i="1"/>
  <c r="Z322" i="1"/>
  <c r="Y320" i="1"/>
  <c r="AA320" i="1" s="1"/>
  <c r="Y312" i="1"/>
  <c r="AA312" i="1" s="1"/>
  <c r="Z311" i="1"/>
  <c r="Y309" i="1"/>
  <c r="AA309" i="1" s="1"/>
  <c r="Y136" i="1"/>
  <c r="AA136" i="1" s="1"/>
  <c r="Z1086" i="1"/>
  <c r="Z1078" i="1"/>
  <c r="Z993" i="1"/>
  <c r="Y844" i="1"/>
  <c r="AA844" i="1" s="1"/>
  <c r="Y825" i="1"/>
  <c r="AA825" i="1" s="1"/>
  <c r="Y810" i="1"/>
  <c r="AA810" i="1" s="1"/>
  <c r="Z801" i="1"/>
  <c r="Y797" i="1"/>
  <c r="AA797" i="1" s="1"/>
  <c r="Z767" i="1"/>
  <c r="Z732" i="1"/>
  <c r="Z696" i="1"/>
  <c r="Y752" i="1"/>
  <c r="AA752" i="1" s="1"/>
  <c r="Z629" i="1"/>
  <c r="Y569" i="1"/>
  <c r="AA569" i="1" s="1"/>
  <c r="Y485" i="1"/>
  <c r="AA485" i="1" s="1"/>
  <c r="Y317" i="1"/>
  <c r="AA317" i="1" s="1"/>
  <c r="Z316" i="1"/>
  <c r="Y279" i="1"/>
  <c r="AA279" i="1" s="1"/>
  <c r="Y842" i="1"/>
  <c r="AA842" i="1" s="1"/>
  <c r="Z833" i="1"/>
  <c r="Z808" i="1"/>
  <c r="Z802" i="1"/>
  <c r="Z800" i="1"/>
  <c r="Z772" i="1"/>
  <c r="Z768" i="1"/>
  <c r="Z735" i="1"/>
  <c r="Z727" i="1"/>
  <c r="Y151" i="1"/>
  <c r="AA151" i="1" s="1"/>
  <c r="Y525" i="1"/>
  <c r="AA525" i="1" s="1"/>
  <c r="Y475" i="1"/>
  <c r="AA475" i="1" s="1"/>
  <c r="Z439" i="1"/>
  <c r="Y172" i="1"/>
  <c r="AA172" i="1" s="1"/>
  <c r="Y169" i="1"/>
  <c r="AA169" i="1" s="1"/>
  <c r="Z1014" i="1"/>
  <c r="Z920" i="1"/>
  <c r="Z188" i="1"/>
  <c r="Z180" i="1"/>
  <c r="Z640" i="1"/>
  <c r="Z583" i="1"/>
  <c r="Z578" i="1"/>
  <c r="Z567" i="1"/>
  <c r="Z565" i="1"/>
  <c r="Y563" i="1"/>
  <c r="AA563" i="1" s="1"/>
  <c r="Z562" i="1"/>
  <c r="Y467" i="1"/>
  <c r="AA467" i="1" s="1"/>
  <c r="Z323" i="1"/>
  <c r="Y321" i="1"/>
  <c r="AA321" i="1" s="1"/>
  <c r="Z320" i="1"/>
  <c r="Z318" i="1"/>
  <c r="Y255" i="1"/>
  <c r="AA255" i="1" s="1"/>
  <c r="Y243" i="1"/>
  <c r="AA243" i="1" s="1"/>
  <c r="Y651" i="1"/>
  <c r="AA651" i="1" s="1"/>
  <c r="Y1035" i="1"/>
  <c r="AA1035" i="1" s="1"/>
  <c r="Y957" i="1"/>
  <c r="AA957" i="1" s="1"/>
  <c r="Z592" i="1"/>
  <c r="Z589" i="1"/>
  <c r="Z586" i="1"/>
  <c r="Z575" i="1"/>
  <c r="Z501" i="1"/>
  <c r="Z454" i="1"/>
  <c r="Y451" i="1"/>
  <c r="AA451" i="1" s="1"/>
  <c r="Z450" i="1"/>
  <c r="Z250" i="1"/>
  <c r="Y196" i="1"/>
  <c r="AA196" i="1" s="1"/>
  <c r="Y188" i="1"/>
  <c r="AA188" i="1" s="1"/>
  <c r="Z129" i="1"/>
  <c r="Z797" i="1"/>
  <c r="Y776" i="1"/>
  <c r="AA776" i="1" s="1"/>
  <c r="Y464" i="1"/>
  <c r="AA464" i="1" s="1"/>
  <c r="Z174" i="1"/>
  <c r="Z168" i="1"/>
  <c r="Z161" i="1"/>
  <c r="Y142" i="1"/>
  <c r="AA142" i="1" s="1"/>
  <c r="Y123" i="1"/>
  <c r="AA123" i="1" s="1"/>
  <c r="Y119" i="1"/>
  <c r="AA119" i="1" s="1"/>
  <c r="Z23" i="1"/>
  <c r="Y1098" i="1"/>
  <c r="AA1098" i="1" s="1"/>
  <c r="Y996" i="1"/>
  <c r="AA996" i="1" s="1"/>
  <c r="Y969" i="1"/>
  <c r="AA969" i="1" s="1"/>
  <c r="Y966" i="1"/>
  <c r="AA966" i="1" s="1"/>
  <c r="Y853" i="1"/>
  <c r="AA853" i="1" s="1"/>
  <c r="Z847" i="1"/>
  <c r="Z844" i="1"/>
  <c r="Z631" i="1"/>
  <c r="Y630" i="1"/>
  <c r="AA630" i="1" s="1"/>
  <c r="Y572" i="1"/>
  <c r="AA572" i="1" s="1"/>
  <c r="Y527" i="1"/>
  <c r="AA527" i="1" s="1"/>
  <c r="Y339" i="1"/>
  <c r="AA339" i="1" s="1"/>
  <c r="Z267" i="1"/>
  <c r="Y189" i="1"/>
  <c r="AA189" i="1" s="1"/>
  <c r="Y120" i="1"/>
  <c r="AA120" i="1" s="1"/>
  <c r="Z968" i="1"/>
  <c r="Z863" i="1"/>
  <c r="Z861" i="1"/>
  <c r="Z733" i="1"/>
  <c r="Z547" i="1"/>
  <c r="Z536" i="1"/>
  <c r="Z272" i="1"/>
  <c r="Z196" i="1"/>
  <c r="Z75" i="1"/>
  <c r="Y1082" i="1"/>
  <c r="AA1082" i="1" s="1"/>
  <c r="Z1076" i="1"/>
  <c r="Y1034" i="1"/>
  <c r="AA1034" i="1" s="1"/>
  <c r="Y1026" i="1"/>
  <c r="AA1026" i="1" s="1"/>
  <c r="Y1018" i="1"/>
  <c r="AA1018" i="1" s="1"/>
  <c r="Y978" i="1"/>
  <c r="AA978" i="1" s="1"/>
  <c r="Z926" i="1"/>
  <c r="Y924" i="1"/>
  <c r="AA924" i="1" s="1"/>
  <c r="Z918" i="1"/>
  <c r="Z750" i="1"/>
  <c r="Z723" i="1"/>
  <c r="Y721" i="1"/>
  <c r="AA721" i="1" s="1"/>
  <c r="Z720" i="1"/>
  <c r="Y715" i="1"/>
  <c r="AA715" i="1" s="1"/>
  <c r="Z709" i="1"/>
  <c r="Y707" i="1"/>
  <c r="AA707" i="1" s="1"/>
  <c r="Z703" i="1"/>
  <c r="Y699" i="1"/>
  <c r="AA699" i="1" s="1"/>
  <c r="Y696" i="1"/>
  <c r="AA696" i="1" s="1"/>
  <c r="Z695" i="1"/>
  <c r="Y692" i="1"/>
  <c r="AA692" i="1" s="1"/>
  <c r="Z691" i="1"/>
  <c r="Z680" i="1"/>
  <c r="Y660" i="1"/>
  <c r="AA660" i="1" s="1"/>
  <c r="Y657" i="1"/>
  <c r="AA657" i="1" s="1"/>
  <c r="Z650" i="1"/>
  <c r="Y570" i="1"/>
  <c r="AA570" i="1" s="1"/>
  <c r="Y559" i="1"/>
  <c r="AA559" i="1" s="1"/>
  <c r="Y551" i="1"/>
  <c r="AA551" i="1" s="1"/>
  <c r="Y306" i="1"/>
  <c r="AA306" i="1" s="1"/>
  <c r="Z302" i="1"/>
  <c r="Z300" i="1"/>
  <c r="Z289" i="1"/>
  <c r="Y287" i="1"/>
  <c r="AA287" i="1" s="1"/>
  <c r="Y231" i="1"/>
  <c r="AA231" i="1" s="1"/>
  <c r="Z229" i="1"/>
  <c r="Z208" i="1"/>
  <c r="Y206" i="1"/>
  <c r="AA206" i="1" s="1"/>
  <c r="Y962" i="1"/>
  <c r="AA962" i="1" s="1"/>
  <c r="Z756" i="1"/>
  <c r="Z312" i="1"/>
  <c r="Z116" i="1"/>
  <c r="Y114" i="1"/>
  <c r="AA114" i="1" s="1"/>
  <c r="Z112" i="1"/>
  <c r="Z103" i="1"/>
  <c r="Z102" i="1"/>
  <c r="Z87" i="1"/>
  <c r="Y789" i="1"/>
  <c r="AA789" i="1" s="1"/>
  <c r="Y194" i="1"/>
  <c r="AA194" i="1" s="1"/>
  <c r="Y981" i="1"/>
  <c r="AA981" i="1" s="1"/>
  <c r="Z1074" i="1"/>
  <c r="Y1025" i="1"/>
  <c r="AA1025" i="1" s="1"/>
  <c r="Z983" i="1"/>
  <c r="Y975" i="1"/>
  <c r="AA975" i="1" s="1"/>
  <c r="Z966" i="1"/>
  <c r="Y921" i="1"/>
  <c r="AA921" i="1" s="1"/>
  <c r="Y764" i="1"/>
  <c r="AA764" i="1" s="1"/>
  <c r="Y723" i="1"/>
  <c r="AA723" i="1" s="1"/>
  <c r="Z722" i="1"/>
  <c r="Y230" i="1"/>
  <c r="AA230" i="1" s="1"/>
  <c r="Y121" i="1"/>
  <c r="AA121" i="1" s="1"/>
  <c r="Z119" i="1"/>
  <c r="Y32" i="1"/>
  <c r="AA32" i="1" s="1"/>
  <c r="Y1102" i="1"/>
  <c r="AA1102" i="1" s="1"/>
  <c r="Z1081" i="1"/>
  <c r="Y1075" i="1"/>
  <c r="AA1075" i="1" s="1"/>
  <c r="Z1011" i="1"/>
  <c r="Y1006" i="1"/>
  <c r="AA1006" i="1" s="1"/>
  <c r="Z923" i="1"/>
  <c r="Y737" i="1"/>
  <c r="AA737" i="1" s="1"/>
  <c r="Y729" i="1"/>
  <c r="AA729" i="1" s="1"/>
  <c r="Y718" i="1"/>
  <c r="AA718" i="1" s="1"/>
  <c r="Y681" i="1"/>
  <c r="AA681" i="1" s="1"/>
  <c r="Y590" i="1"/>
  <c r="AA590" i="1" s="1"/>
  <c r="Y540" i="1"/>
  <c r="AA540" i="1" s="1"/>
  <c r="Z502" i="1"/>
  <c r="Y412" i="1"/>
  <c r="AA412" i="1" s="1"/>
  <c r="Y362" i="1"/>
  <c r="AA362" i="1" s="1"/>
  <c r="Y236" i="1"/>
  <c r="AA236" i="1" s="1"/>
  <c r="Y159" i="1"/>
  <c r="AA159" i="1" s="1"/>
  <c r="Y1088" i="1"/>
  <c r="AA1088" i="1" s="1"/>
  <c r="Z1087" i="1"/>
  <c r="Y1085" i="1"/>
  <c r="AA1085" i="1" s="1"/>
  <c r="Y1071" i="1"/>
  <c r="AA1071" i="1" s="1"/>
  <c r="Z1000" i="1"/>
  <c r="Y998" i="1"/>
  <c r="AA998" i="1" s="1"/>
  <c r="Y990" i="1"/>
  <c r="AA990" i="1" s="1"/>
  <c r="Y862" i="1"/>
  <c r="AA862" i="1" s="1"/>
  <c r="Y832" i="1"/>
  <c r="AA832" i="1" s="1"/>
  <c r="Y824" i="1"/>
  <c r="AA824" i="1" s="1"/>
  <c r="Y801" i="1"/>
  <c r="AA801" i="1" s="1"/>
  <c r="Y727" i="1"/>
  <c r="AA727" i="1" s="1"/>
  <c r="Y671" i="1"/>
  <c r="AA671" i="1" s="1"/>
  <c r="Y373" i="1"/>
  <c r="AA373" i="1" s="1"/>
  <c r="Z372" i="1"/>
  <c r="Y368" i="1"/>
  <c r="AA368" i="1" s="1"/>
  <c r="Z367" i="1"/>
  <c r="Y249" i="1"/>
  <c r="AA249" i="1" s="1"/>
  <c r="Z247" i="1"/>
  <c r="Y245" i="1"/>
  <c r="AA245" i="1" s="1"/>
  <c r="Z244" i="1"/>
  <c r="Y1099" i="1"/>
  <c r="AA1099" i="1" s="1"/>
  <c r="Z1033" i="1"/>
  <c r="Z202" i="1"/>
  <c r="Z25" i="1"/>
  <c r="Y22" i="1"/>
  <c r="AA22" i="1" s="1"/>
  <c r="Z1082" i="1"/>
  <c r="Z995" i="1"/>
  <c r="Y716" i="1"/>
  <c r="AA716" i="1" s="1"/>
  <c r="Z715" i="1"/>
  <c r="Z571" i="1"/>
  <c r="Y63" i="1"/>
  <c r="AA63" i="1" s="1"/>
  <c r="Y1081" i="1"/>
  <c r="AA1081" i="1" s="1"/>
  <c r="Y1074" i="1"/>
  <c r="AA1074" i="1" s="1"/>
  <c r="Z1071" i="1"/>
  <c r="Z1063" i="1"/>
  <c r="Y1056" i="1"/>
  <c r="AA1056" i="1" s="1"/>
  <c r="Z1037" i="1"/>
  <c r="Z1034" i="1"/>
  <c r="Y1024" i="1"/>
  <c r="AA1024" i="1" s="1"/>
  <c r="Y1019" i="1"/>
  <c r="AA1019" i="1" s="1"/>
  <c r="Y963" i="1"/>
  <c r="AA963" i="1" s="1"/>
  <c r="Z962" i="1"/>
  <c r="Y955" i="1"/>
  <c r="AA955" i="1" s="1"/>
  <c r="Z954" i="1"/>
  <c r="Z938" i="1"/>
  <c r="Y880" i="1"/>
  <c r="AA880" i="1" s="1"/>
  <c r="Y583" i="1"/>
  <c r="AA583" i="1" s="1"/>
  <c r="Z582" i="1"/>
  <c r="Z579" i="1"/>
  <c r="Y555" i="1"/>
  <c r="AA555" i="1" s="1"/>
  <c r="Y550" i="1"/>
  <c r="AA550" i="1" s="1"/>
  <c r="Y387" i="1"/>
  <c r="AA387" i="1" s="1"/>
  <c r="Y1084" i="1"/>
  <c r="AA1084" i="1" s="1"/>
  <c r="Y1051" i="1"/>
  <c r="AA1051" i="1" s="1"/>
  <c r="Z1050" i="1"/>
  <c r="Y1022" i="1"/>
  <c r="AA1022" i="1" s="1"/>
  <c r="Z1015" i="1"/>
  <c r="Z976" i="1"/>
  <c r="Z809" i="1"/>
  <c r="Z804" i="1"/>
  <c r="Y720" i="1"/>
  <c r="AA720" i="1" s="1"/>
  <c r="Z719" i="1"/>
  <c r="Z512" i="1"/>
  <c r="Y199" i="1"/>
  <c r="AA199" i="1" s="1"/>
  <c r="Y69" i="1"/>
  <c r="AA69" i="1" s="1"/>
  <c r="Y1017" i="1"/>
  <c r="AA1017" i="1" s="1"/>
  <c r="Y1089" i="1"/>
  <c r="AA1089" i="1" s="1"/>
  <c r="Z997" i="1"/>
  <c r="Z944" i="1"/>
  <c r="Z1085" i="1"/>
  <c r="Z1079" i="1"/>
  <c r="Y1068" i="1"/>
  <c r="AA1068" i="1" s="1"/>
  <c r="Z1067" i="1"/>
  <c r="Z1065" i="1"/>
  <c r="Y1060" i="1"/>
  <c r="AA1060" i="1" s="1"/>
  <c r="Z1059" i="1"/>
  <c r="Y1057" i="1"/>
  <c r="AA1057" i="1" s="1"/>
  <c r="Z1056" i="1"/>
  <c r="Y1054" i="1"/>
  <c r="AA1054" i="1" s="1"/>
  <c r="Z1053" i="1"/>
  <c r="Y1010" i="1"/>
  <c r="AA1010" i="1" s="1"/>
  <c r="Y965" i="1"/>
  <c r="AA965" i="1" s="1"/>
  <c r="Y943" i="1"/>
  <c r="AA943" i="1" s="1"/>
  <c r="Y940" i="1"/>
  <c r="AA940" i="1" s="1"/>
  <c r="Z937" i="1"/>
  <c r="Y607" i="1"/>
  <c r="AA607" i="1" s="1"/>
  <c r="Z504" i="1"/>
  <c r="Z1080" i="1"/>
  <c r="Z1073" i="1"/>
  <c r="Z1070" i="1"/>
  <c r="Z1068" i="1"/>
  <c r="Z1062" i="1"/>
  <c r="Y1041" i="1"/>
  <c r="AA1041" i="1" s="1"/>
  <c r="Z1006" i="1"/>
  <c r="Z1001" i="1"/>
  <c r="Z1090" i="1"/>
  <c r="Y1087" i="1"/>
  <c r="AA1087" i="1" s="1"/>
  <c r="Y1069" i="1"/>
  <c r="AA1069" i="1" s="1"/>
  <c r="Y1028" i="1"/>
  <c r="AA1028" i="1" s="1"/>
  <c r="Z1009" i="1"/>
  <c r="Y1002" i="1"/>
  <c r="AA1002" i="1" s="1"/>
  <c r="Y960" i="1"/>
  <c r="AA960" i="1" s="1"/>
  <c r="Z951" i="1"/>
  <c r="Z948" i="1"/>
  <c r="Z616" i="1"/>
  <c r="Y614" i="1"/>
  <c r="AA614" i="1" s="1"/>
  <c r="Y1076" i="1"/>
  <c r="AA1076" i="1" s="1"/>
  <c r="Z1025" i="1"/>
  <c r="Z1022" i="1"/>
  <c r="Z1019" i="1"/>
  <c r="Z1013" i="1"/>
  <c r="Z1010" i="1"/>
  <c r="Y994" i="1"/>
  <c r="AA994" i="1" s="1"/>
  <c r="Z960" i="1"/>
  <c r="Z957" i="1"/>
  <c r="Y936" i="1"/>
  <c r="AA936" i="1" s="1"/>
  <c r="Z1069" i="1"/>
  <c r="Y1003" i="1"/>
  <c r="AA1003" i="1" s="1"/>
  <c r="Z974" i="1"/>
  <c r="Y944" i="1"/>
  <c r="AA944" i="1" s="1"/>
  <c r="Y925" i="1"/>
  <c r="AA925" i="1" s="1"/>
  <c r="Z823" i="1"/>
  <c r="Y821" i="1"/>
  <c r="AA821" i="1" s="1"/>
  <c r="Y811" i="1"/>
  <c r="AA811" i="1" s="1"/>
  <c r="Z549" i="1"/>
  <c r="Y547" i="1"/>
  <c r="AA547" i="1" s="1"/>
  <c r="Y984" i="1"/>
  <c r="AA984" i="1" s="1"/>
  <c r="Y1045" i="1"/>
  <c r="AA1045" i="1" s="1"/>
  <c r="Z1044" i="1"/>
  <c r="Z989" i="1"/>
  <c r="Y934" i="1"/>
  <c r="AA934" i="1" s="1"/>
  <c r="Y923" i="1"/>
  <c r="AA923" i="1" s="1"/>
  <c r="Z745" i="1"/>
  <c r="Y581" i="1"/>
  <c r="AA581" i="1" s="1"/>
  <c r="Y565" i="1"/>
  <c r="AA565" i="1" s="1"/>
  <c r="Z731" i="1"/>
  <c r="Z713" i="1"/>
  <c r="Y711" i="1"/>
  <c r="AA711" i="1" s="1"/>
  <c r="Z710" i="1"/>
  <c r="Z707" i="1"/>
  <c r="Y704" i="1"/>
  <c r="AA704" i="1" s="1"/>
  <c r="Z701" i="1"/>
  <c r="Z698" i="1"/>
  <c r="Y693" i="1"/>
  <c r="AA693" i="1" s="1"/>
  <c r="Z577" i="1"/>
  <c r="Z574" i="1"/>
  <c r="Z568" i="1"/>
  <c r="Y516" i="1"/>
  <c r="AA516" i="1" s="1"/>
  <c r="Z515" i="1"/>
  <c r="Y414" i="1"/>
  <c r="AA414" i="1" s="1"/>
  <c r="Z241" i="1"/>
  <c r="Z235" i="1"/>
  <c r="Y37" i="1"/>
  <c r="AA37" i="1" s="1"/>
  <c r="Z933" i="1"/>
  <c r="Y926" i="1"/>
  <c r="AA926" i="1" s="1"/>
  <c r="Z925" i="1"/>
  <c r="Y922" i="1"/>
  <c r="AA922" i="1" s="1"/>
  <c r="Z921" i="1"/>
  <c r="Z916" i="1"/>
  <c r="Z913" i="1"/>
  <c r="Y908" i="1"/>
  <c r="AA908" i="1" s="1"/>
  <c r="Z907" i="1"/>
  <c r="Z905" i="1"/>
  <c r="Y903" i="1"/>
  <c r="AA903" i="1" s="1"/>
  <c r="Z902" i="1"/>
  <c r="Z894" i="1"/>
  <c r="Z891" i="1"/>
  <c r="Y887" i="1"/>
  <c r="AA887" i="1" s="1"/>
  <c r="Y879" i="1"/>
  <c r="AA879" i="1" s="1"/>
  <c r="Y859" i="1"/>
  <c r="AA859" i="1" s="1"/>
  <c r="Y834" i="1"/>
  <c r="AA834" i="1" s="1"/>
  <c r="Z831" i="1"/>
  <c r="Z822" i="1"/>
  <c r="Y815" i="1"/>
  <c r="AA815" i="1" s="1"/>
  <c r="Y745" i="1"/>
  <c r="AA745" i="1" s="1"/>
  <c r="Y667" i="1"/>
  <c r="AA667" i="1" s="1"/>
  <c r="Z666" i="1"/>
  <c r="Z658" i="1"/>
  <c r="Y647" i="1"/>
  <c r="AA647" i="1" s="1"/>
  <c r="Z646" i="1"/>
  <c r="Y638" i="1"/>
  <c r="AA638" i="1" s="1"/>
  <c r="Y633" i="1"/>
  <c r="AA633" i="1" s="1"/>
  <c r="Y622" i="1"/>
  <c r="AA622" i="1" s="1"/>
  <c r="Y616" i="1"/>
  <c r="AA616" i="1" s="1"/>
  <c r="Z615" i="1"/>
  <c r="Y610" i="1"/>
  <c r="AA610" i="1" s="1"/>
  <c r="Z609" i="1"/>
  <c r="Z606" i="1"/>
  <c r="Y598" i="1"/>
  <c r="AA598" i="1" s="1"/>
  <c r="Y589" i="1"/>
  <c r="AA589" i="1" s="1"/>
  <c r="Y578" i="1"/>
  <c r="AA578" i="1" s="1"/>
  <c r="Y496" i="1"/>
  <c r="AA496" i="1" s="1"/>
  <c r="Y452" i="1"/>
  <c r="AA452" i="1" s="1"/>
  <c r="Y442" i="1"/>
  <c r="AA442" i="1" s="1"/>
  <c r="Z441" i="1"/>
  <c r="Y439" i="1"/>
  <c r="AA439" i="1" s="1"/>
  <c r="Z438" i="1"/>
  <c r="Z425" i="1"/>
  <c r="Y423" i="1"/>
  <c r="AA423" i="1" s="1"/>
  <c r="Z419" i="1"/>
  <c r="Y383" i="1"/>
  <c r="AA383" i="1" s="1"/>
  <c r="Y376" i="1"/>
  <c r="AA376" i="1" s="1"/>
  <c r="Y324" i="1"/>
  <c r="AA324" i="1" s="1"/>
  <c r="Z251" i="1"/>
  <c r="Y237" i="1"/>
  <c r="AA237" i="1" s="1"/>
  <c r="Z236" i="1"/>
  <c r="Y224" i="1"/>
  <c r="AA224" i="1" s="1"/>
  <c r="Y219" i="1"/>
  <c r="AA219" i="1" s="1"/>
  <c r="Y184" i="1"/>
  <c r="AA184" i="1" s="1"/>
  <c r="Z156" i="1"/>
  <c r="Z134" i="1"/>
  <c r="Z133" i="1"/>
  <c r="Y130" i="1"/>
  <c r="AA130" i="1" s="1"/>
  <c r="Y96" i="1"/>
  <c r="AA96" i="1" s="1"/>
  <c r="Y395" i="1"/>
  <c r="AA395" i="1" s="1"/>
  <c r="Z60" i="1"/>
  <c r="Z24" i="1"/>
  <c r="Y19" i="1"/>
  <c r="AA19" i="1" s="1"/>
  <c r="Y18" i="1"/>
  <c r="AA18" i="1" s="1"/>
  <c r="Z17" i="1"/>
  <c r="Z770" i="1"/>
  <c r="Z765" i="1"/>
  <c r="Y763" i="1"/>
  <c r="AA763" i="1" s="1"/>
  <c r="Z702" i="1"/>
  <c r="Y415" i="1"/>
  <c r="AA415" i="1" s="1"/>
  <c r="Z399" i="1"/>
  <c r="Y330" i="1"/>
  <c r="AA330" i="1" s="1"/>
  <c r="Z239" i="1"/>
  <c r="Z213" i="1"/>
  <c r="Z171" i="1"/>
  <c r="Y35" i="1"/>
  <c r="AA35" i="1" s="1"/>
  <c r="Z788" i="1"/>
  <c r="Y780" i="1"/>
  <c r="AA780" i="1" s="1"/>
  <c r="Z779" i="1"/>
  <c r="Y608" i="1"/>
  <c r="AA608" i="1" s="1"/>
  <c r="Y605" i="1"/>
  <c r="AA605" i="1" s="1"/>
  <c r="Y599" i="1"/>
  <c r="AA599" i="1" s="1"/>
  <c r="Y470" i="1"/>
  <c r="AA470" i="1" s="1"/>
  <c r="Y425" i="1"/>
  <c r="AA425" i="1" s="1"/>
  <c r="Y342" i="1"/>
  <c r="AA342" i="1" s="1"/>
  <c r="Z341" i="1"/>
  <c r="Z338" i="1"/>
  <c r="Y336" i="1"/>
  <c r="AA336" i="1" s="1"/>
  <c r="Y333" i="1"/>
  <c r="AA333" i="1" s="1"/>
  <c r="Z332" i="1"/>
  <c r="Z100" i="1"/>
  <c r="Y36" i="1"/>
  <c r="AA36" i="1" s="1"/>
  <c r="Z26" i="1"/>
  <c r="Z1107" i="1"/>
  <c r="Y761" i="1"/>
  <c r="AA761" i="1" s="1"/>
  <c r="Y747" i="1"/>
  <c r="AA747" i="1" s="1"/>
  <c r="Y710" i="1"/>
  <c r="AA710" i="1" s="1"/>
  <c r="Z528" i="1"/>
  <c r="Z206" i="1"/>
  <c r="Y204" i="1"/>
  <c r="AA204" i="1" s="1"/>
  <c r="Z203" i="1"/>
  <c r="Y40" i="1"/>
  <c r="AA40" i="1" s="1"/>
  <c r="Z39" i="1"/>
  <c r="Z798" i="1"/>
  <c r="Z538" i="1"/>
  <c r="Y536" i="1"/>
  <c r="AA536" i="1" s="1"/>
  <c r="Y493" i="1"/>
  <c r="AA493" i="1" s="1"/>
  <c r="Y490" i="1"/>
  <c r="AA490" i="1" s="1"/>
  <c r="Z303" i="1"/>
  <c r="Z297" i="1"/>
  <c r="Z211" i="1"/>
  <c r="Z209" i="1"/>
  <c r="Y207" i="1"/>
  <c r="AA207" i="1" s="1"/>
  <c r="Y201" i="1"/>
  <c r="AA201" i="1" s="1"/>
  <c r="Y109" i="1"/>
  <c r="AA109" i="1" s="1"/>
  <c r="Y1001" i="1"/>
  <c r="AA1001" i="1" s="1"/>
  <c r="Y949" i="1"/>
  <c r="AA949" i="1" s="1"/>
  <c r="Z977" i="1"/>
  <c r="Z936" i="1"/>
  <c r="Y992" i="1"/>
  <c r="AA992" i="1" s="1"/>
  <c r="Z1077" i="1"/>
  <c r="Y1009" i="1"/>
  <c r="AA1009" i="1" s="1"/>
  <c r="Z1007" i="1"/>
  <c r="Z1004" i="1"/>
  <c r="Y917" i="1"/>
  <c r="AA917" i="1" s="1"/>
  <c r="Z910" i="1"/>
  <c r="Y1061" i="1"/>
  <c r="AA1061" i="1" s="1"/>
  <c r="Y1049" i="1"/>
  <c r="AA1049" i="1" s="1"/>
  <c r="Z1048" i="1"/>
  <c r="Y1046" i="1"/>
  <c r="AA1046" i="1" s="1"/>
  <c r="Z1043" i="1"/>
  <c r="Z1039" i="1"/>
  <c r="Y1012" i="1"/>
  <c r="AA1012" i="1" s="1"/>
  <c r="Z1008" i="1"/>
  <c r="Z1002" i="1"/>
  <c r="Z1051" i="1"/>
  <c r="Z943" i="1"/>
  <c r="Z1066" i="1"/>
  <c r="Z1061" i="1"/>
  <c r="Y976" i="1"/>
  <c r="AA976" i="1" s="1"/>
  <c r="Y1073" i="1"/>
  <c r="AA1073" i="1" s="1"/>
  <c r="Y1062" i="1"/>
  <c r="AA1062" i="1" s="1"/>
  <c r="Z1035" i="1"/>
  <c r="Y229" i="1"/>
  <c r="AA229" i="1" s="1"/>
  <c r="Y60" i="1"/>
  <c r="AA60" i="1" s="1"/>
  <c r="Z1036" i="1"/>
  <c r="Y952" i="1"/>
  <c r="AA952" i="1" s="1"/>
  <c r="Y840" i="1"/>
  <c r="AA840" i="1" s="1"/>
  <c r="Z839" i="1"/>
  <c r="Y826" i="1"/>
  <c r="AA826" i="1" s="1"/>
  <c r="Z825" i="1"/>
  <c r="Y818" i="1"/>
  <c r="AA818" i="1" s="1"/>
  <c r="Y813" i="1"/>
  <c r="AA813" i="1" s="1"/>
  <c r="Z812" i="1"/>
  <c r="Z807" i="1"/>
  <c r="Y805" i="1"/>
  <c r="AA805" i="1" s="1"/>
  <c r="Y802" i="1"/>
  <c r="AA802" i="1" s="1"/>
  <c r="Y799" i="1"/>
  <c r="AA799" i="1" s="1"/>
  <c r="Z792" i="1"/>
  <c r="Y790" i="1"/>
  <c r="AA790" i="1" s="1"/>
  <c r="Z786" i="1"/>
  <c r="Y784" i="1"/>
  <c r="AA784" i="1" s="1"/>
  <c r="Y774" i="1"/>
  <c r="AA774" i="1" s="1"/>
  <c r="Z773" i="1"/>
  <c r="Y755" i="1"/>
  <c r="AA755" i="1" s="1"/>
  <c r="Z754" i="1"/>
  <c r="Z751" i="1"/>
  <c r="Y749" i="1"/>
  <c r="AA749" i="1" s="1"/>
  <c r="Z748" i="1"/>
  <c r="Y746" i="1"/>
  <c r="AA746" i="1" s="1"/>
  <c r="Z664" i="1"/>
  <c r="Y662" i="1"/>
  <c r="AA662" i="1" s="1"/>
  <c r="Z661" i="1"/>
  <c r="Z630" i="1"/>
  <c r="Y628" i="1"/>
  <c r="AA628" i="1" s="1"/>
  <c r="Z624" i="1"/>
  <c r="Z618" i="1"/>
  <c r="Z613" i="1"/>
  <c r="Z612" i="1"/>
  <c r="Z402" i="1"/>
  <c r="Y400" i="1"/>
  <c r="AA400" i="1" s="1"/>
  <c r="Z398" i="1"/>
  <c r="Y286" i="1"/>
  <c r="AA286" i="1" s="1"/>
  <c r="Z111" i="1"/>
  <c r="Z38" i="1"/>
  <c r="Z34" i="1"/>
  <c r="Y27" i="1"/>
  <c r="AA27" i="1" s="1"/>
  <c r="Z1105" i="1"/>
  <c r="Y1103" i="1"/>
  <c r="AA1103" i="1" s="1"/>
  <c r="Y895" i="1"/>
  <c r="AA895" i="1" s="1"/>
  <c r="Z854" i="1"/>
  <c r="Y852" i="1"/>
  <c r="AA852" i="1" s="1"/>
  <c r="Z851" i="1"/>
  <c r="Z848" i="1"/>
  <c r="Y846" i="1"/>
  <c r="AA846" i="1" s="1"/>
  <c r="Z845" i="1"/>
  <c r="Y843" i="1"/>
  <c r="AA843" i="1" s="1"/>
  <c r="Z842" i="1"/>
  <c r="Z837" i="1"/>
  <c r="Y835" i="1"/>
  <c r="AA835" i="1" s="1"/>
  <c r="Z834" i="1"/>
  <c r="Z829" i="1"/>
  <c r="Z828" i="1"/>
  <c r="Z826" i="1"/>
  <c r="Z820" i="1"/>
  <c r="Z817" i="1"/>
  <c r="Z810" i="1"/>
  <c r="Y808" i="1"/>
  <c r="AA808" i="1" s="1"/>
  <c r="Z805" i="1"/>
  <c r="Y800" i="1"/>
  <c r="AA800" i="1" s="1"/>
  <c r="Y796" i="1"/>
  <c r="AA796" i="1" s="1"/>
  <c r="Z795" i="1"/>
  <c r="Z793" i="1"/>
  <c r="Y791" i="1"/>
  <c r="AA791" i="1" s="1"/>
  <c r="Z789" i="1"/>
  <c r="Y787" i="1"/>
  <c r="AA787" i="1" s="1"/>
  <c r="Z784" i="1"/>
  <c r="Z781" i="1"/>
  <c r="Z780" i="1"/>
  <c r="Z777" i="1"/>
  <c r="Z774" i="1"/>
  <c r="Z771" i="1"/>
  <c r="Z769" i="1"/>
  <c r="Z766" i="1"/>
  <c r="Z760" i="1"/>
  <c r="Y758" i="1"/>
  <c r="AA758" i="1" s="1"/>
  <c r="Z757" i="1"/>
  <c r="Z685" i="1"/>
  <c r="Y683" i="1"/>
  <c r="AA683" i="1" s="1"/>
  <c r="Y677" i="1"/>
  <c r="AA677" i="1" s="1"/>
  <c r="Y674" i="1"/>
  <c r="AA674" i="1" s="1"/>
  <c r="Z670" i="1"/>
  <c r="Y668" i="1"/>
  <c r="AA668" i="1" s="1"/>
  <c r="Z638" i="1"/>
  <c r="Z636" i="1"/>
  <c r="Y634" i="1"/>
  <c r="AA634" i="1" s="1"/>
  <c r="Z633" i="1"/>
  <c r="Y631" i="1"/>
  <c r="AA631" i="1" s="1"/>
  <c r="Z628" i="1"/>
  <c r="Y626" i="1"/>
  <c r="AA626" i="1" s="1"/>
  <c r="Z622" i="1"/>
  <c r="Y620" i="1"/>
  <c r="AA620" i="1" s="1"/>
  <c r="Y601" i="1"/>
  <c r="AA601" i="1" s="1"/>
  <c r="Z600" i="1"/>
  <c r="Z580" i="1"/>
  <c r="Z492" i="1"/>
  <c r="Z489" i="1"/>
  <c r="Y487" i="1"/>
  <c r="AA487" i="1" s="1"/>
  <c r="Y484" i="1"/>
  <c r="AA484" i="1" s="1"/>
  <c r="Y481" i="1"/>
  <c r="AA481" i="1" s="1"/>
  <c r="Z478" i="1"/>
  <c r="Z403" i="1"/>
  <c r="Z1041" i="1"/>
  <c r="Y1032" i="1"/>
  <c r="AA1032" i="1" s="1"/>
  <c r="Z1028" i="1"/>
  <c r="Y1014" i="1"/>
  <c r="AA1014" i="1" s="1"/>
  <c r="Z998" i="1"/>
  <c r="Z994" i="1"/>
  <c r="Z991" i="1"/>
  <c r="Y989" i="1"/>
  <c r="AA989" i="1" s="1"/>
  <c r="Z988" i="1"/>
  <c r="Z986" i="1"/>
  <c r="Y983" i="1"/>
  <c r="AA983" i="1" s="1"/>
  <c r="Z982" i="1"/>
  <c r="Y977" i="1"/>
  <c r="AA977" i="1" s="1"/>
  <c r="Z973" i="1"/>
  <c r="Z971" i="1"/>
  <c r="Y909" i="1"/>
  <c r="AA909" i="1" s="1"/>
  <c r="Y901" i="1"/>
  <c r="AA901" i="1" s="1"/>
  <c r="Y865" i="1"/>
  <c r="AA865" i="1" s="1"/>
  <c r="Z864" i="1"/>
  <c r="Z679" i="1"/>
  <c r="Y499" i="1"/>
  <c r="AA499" i="1" s="1"/>
  <c r="Z498" i="1"/>
  <c r="Z495" i="1"/>
  <c r="Y479" i="1"/>
  <c r="AA479" i="1" s="1"/>
  <c r="Y418" i="1"/>
  <c r="AA418" i="1" s="1"/>
  <c r="Y323" i="1"/>
  <c r="AA323" i="1" s="1"/>
  <c r="Y295" i="1"/>
  <c r="AA295" i="1" s="1"/>
  <c r="Y139" i="1"/>
  <c r="AA139" i="1" s="1"/>
  <c r="Y124" i="1"/>
  <c r="AA124" i="1" s="1"/>
  <c r="Y57" i="1"/>
  <c r="AA57" i="1" s="1"/>
  <c r="Z48" i="1"/>
  <c r="Z47" i="1"/>
  <c r="Y212" i="1"/>
  <c r="AA212" i="1" s="1"/>
  <c r="Y200" i="1"/>
  <c r="AA200" i="1" s="1"/>
  <c r="Y58" i="1"/>
  <c r="AA58" i="1" s="1"/>
  <c r="Y885" i="1"/>
  <c r="AA885" i="1" s="1"/>
  <c r="Y733" i="1"/>
  <c r="AA733" i="1" s="1"/>
  <c r="Y567" i="1"/>
  <c r="AA567" i="1" s="1"/>
  <c r="Y546" i="1"/>
  <c r="AA546" i="1" s="1"/>
  <c r="Y543" i="1"/>
  <c r="AA543" i="1" s="1"/>
  <c r="Z542" i="1"/>
  <c r="Z539" i="1"/>
  <c r="Z534" i="1"/>
  <c r="Y532" i="1"/>
  <c r="AA532" i="1" s="1"/>
  <c r="Z531" i="1"/>
  <c r="Y529" i="1"/>
  <c r="AA529" i="1" s="1"/>
  <c r="Y511" i="1"/>
  <c r="AA511" i="1" s="1"/>
  <c r="Z326" i="1"/>
  <c r="Z242" i="1"/>
  <c r="Y240" i="1"/>
  <c r="AA240" i="1" s="1"/>
  <c r="Y233" i="1"/>
  <c r="AA233" i="1" s="1"/>
  <c r="Y232" i="1"/>
  <c r="AA232" i="1" s="1"/>
  <c r="Y228" i="1"/>
  <c r="AA228" i="1" s="1"/>
  <c r="Z227" i="1"/>
  <c r="Y222" i="1"/>
  <c r="AA222" i="1" s="1"/>
  <c r="Z218" i="1"/>
  <c r="Y216" i="1"/>
  <c r="AA216" i="1" s="1"/>
  <c r="Z215" i="1"/>
  <c r="Y213" i="1"/>
  <c r="AA213" i="1" s="1"/>
  <c r="Y135" i="1"/>
  <c r="AA135" i="1" s="1"/>
  <c r="Y59" i="1"/>
  <c r="AA59" i="1" s="1"/>
  <c r="Y725" i="1"/>
  <c r="AA725" i="1" s="1"/>
  <c r="Z712" i="1"/>
  <c r="Z617" i="1"/>
  <c r="Y541" i="1"/>
  <c r="AA541" i="1" s="1"/>
  <c r="Z532" i="1"/>
  <c r="Y459" i="1"/>
  <c r="AA459" i="1" s="1"/>
  <c r="Y327" i="1"/>
  <c r="AA327" i="1" s="1"/>
  <c r="Z228" i="1"/>
  <c r="Y126" i="1"/>
  <c r="AA126" i="1" s="1"/>
  <c r="Y66" i="1"/>
  <c r="AA66" i="1" s="1"/>
  <c r="Z65" i="1"/>
  <c r="Z62" i="1"/>
  <c r="Y46" i="1"/>
  <c r="AA46" i="1" s="1"/>
  <c r="Y931" i="1"/>
  <c r="AA931" i="1" s="1"/>
  <c r="Y928" i="1"/>
  <c r="AA928" i="1" s="1"/>
  <c r="Z899" i="1"/>
  <c r="Y897" i="1"/>
  <c r="AA897" i="1" s="1"/>
  <c r="Z896" i="1"/>
  <c r="Y609" i="1"/>
  <c r="AA609" i="1" s="1"/>
  <c r="Z608" i="1"/>
  <c r="Y606" i="1"/>
  <c r="AA606" i="1" s="1"/>
  <c r="Z605" i="1"/>
  <c r="Y603" i="1"/>
  <c r="AA603" i="1" s="1"/>
  <c r="Y474" i="1"/>
  <c r="AA474" i="1" s="1"/>
  <c r="Z473" i="1"/>
  <c r="Z329" i="1"/>
  <c r="Z243" i="1"/>
  <c r="Y987" i="1"/>
  <c r="AA987" i="1" s="1"/>
  <c r="Z676" i="1"/>
  <c r="Z545" i="1"/>
  <c r="Z30" i="1"/>
  <c r="Y778" i="1"/>
  <c r="AA778" i="1" s="1"/>
  <c r="Z855" i="1"/>
  <c r="Y678" i="1"/>
  <c r="AA678" i="1" s="1"/>
  <c r="Y154" i="1"/>
  <c r="AA154" i="1" s="1"/>
  <c r="Y12" i="1"/>
  <c r="AA12" i="1" s="1"/>
  <c r="Z447" i="1"/>
  <c r="Y1067" i="1"/>
  <c r="AA1067" i="1" s="1"/>
  <c r="Y1040" i="1"/>
  <c r="AA1040" i="1" s="1"/>
  <c r="Z931" i="1"/>
  <c r="Y14" i="1"/>
  <c r="AA14" i="1" s="1"/>
  <c r="Z1089" i="1"/>
  <c r="Z1084" i="1"/>
  <c r="Y974" i="1"/>
  <c r="AA974" i="1" s="1"/>
  <c r="Z627" i="1"/>
  <c r="Y625" i="1"/>
  <c r="AA625" i="1" s="1"/>
  <c r="Y517" i="1"/>
  <c r="AA517" i="1" s="1"/>
  <c r="Z286" i="1"/>
  <c r="Z237" i="1"/>
  <c r="Y175" i="1"/>
  <c r="AA175" i="1" s="1"/>
  <c r="Y874" i="1"/>
  <c r="AA874" i="1" s="1"/>
  <c r="Y530" i="1"/>
  <c r="AA530" i="1" s="1"/>
  <c r="Z240" i="1"/>
  <c r="Z959" i="1"/>
  <c r="Y847" i="1"/>
  <c r="AA847" i="1" s="1"/>
  <c r="Y560" i="1"/>
  <c r="AA560" i="1" s="1"/>
  <c r="Z1091" i="1"/>
  <c r="Y632" i="1"/>
  <c r="AA632" i="1" s="1"/>
  <c r="Z1075" i="1"/>
  <c r="Z1072" i="1"/>
  <c r="Z1042" i="1"/>
  <c r="Z975" i="1"/>
  <c r="Y973" i="1"/>
  <c r="AA973" i="1" s="1"/>
  <c r="Y748" i="1"/>
  <c r="AA748" i="1" s="1"/>
  <c r="Z747" i="1"/>
  <c r="Z607" i="1"/>
  <c r="Z604" i="1"/>
  <c r="Z783" i="1"/>
  <c r="Y781" i="1"/>
  <c r="AA781" i="1" s="1"/>
  <c r="Z762" i="1"/>
  <c r="Z621" i="1"/>
  <c r="Y619" i="1"/>
  <c r="AA619" i="1" s="1"/>
  <c r="Y613" i="1"/>
  <c r="AA613" i="1" s="1"/>
  <c r="Y483" i="1"/>
  <c r="AA483" i="1" s="1"/>
  <c r="Y469" i="1"/>
  <c r="AA469" i="1" s="1"/>
  <c r="Y462" i="1"/>
  <c r="AA462" i="1" s="1"/>
  <c r="Z14" i="1"/>
  <c r="Y953" i="1"/>
  <c r="AA953" i="1" s="1"/>
  <c r="Y933" i="1"/>
  <c r="AA933" i="1" s="1"/>
  <c r="Z889" i="1"/>
  <c r="Z21" i="1"/>
  <c r="Y1048" i="1"/>
  <c r="AA1048" i="1" s="1"/>
  <c r="Z298" i="1"/>
  <c r="Y911" i="1"/>
  <c r="AA911" i="1" s="1"/>
  <c r="Y164" i="1"/>
  <c r="AA164" i="1" s="1"/>
  <c r="Z45" i="1"/>
  <c r="Y1079" i="1"/>
  <c r="AA1079" i="1" s="1"/>
  <c r="Y993" i="1"/>
  <c r="AA993" i="1" s="1"/>
  <c r="Y961" i="1"/>
  <c r="AA961" i="1" s="1"/>
  <c r="Y945" i="1"/>
  <c r="AA945" i="1" s="1"/>
  <c r="Y1070" i="1"/>
  <c r="AA1070" i="1" s="1"/>
  <c r="Y1086" i="1"/>
  <c r="AA1086" i="1" s="1"/>
  <c r="Y918" i="1"/>
  <c r="AA918" i="1" s="1"/>
  <c r="Y1065" i="1"/>
  <c r="AA1065" i="1" s="1"/>
  <c r="Y982" i="1"/>
  <c r="AA982" i="1" s="1"/>
  <c r="Y1029" i="1"/>
  <c r="AA1029" i="1" s="1"/>
  <c r="Y856" i="1"/>
  <c r="AA856" i="1" s="1"/>
  <c r="Y817" i="1"/>
  <c r="AA817" i="1" s="1"/>
  <c r="Y1023" i="1"/>
  <c r="AA1023" i="1" s="1"/>
  <c r="Y1007" i="1"/>
  <c r="AA1007" i="1" s="1"/>
  <c r="Y999" i="1"/>
  <c r="AA999" i="1" s="1"/>
  <c r="Y954" i="1"/>
  <c r="AA954" i="1" s="1"/>
  <c r="Y946" i="1"/>
  <c r="AA946" i="1" s="1"/>
  <c r="Y930" i="1"/>
  <c r="AA930" i="1" s="1"/>
  <c r="Y838" i="1"/>
  <c r="AA838" i="1" s="1"/>
  <c r="Y735" i="1"/>
  <c r="AA735" i="1" s="1"/>
  <c r="Y393" i="1"/>
  <c r="AA393" i="1" s="1"/>
  <c r="Y1038" i="1"/>
  <c r="AA1038" i="1" s="1"/>
  <c r="Y1039" i="1"/>
  <c r="AA1039" i="1" s="1"/>
  <c r="Y915" i="1"/>
  <c r="AA915" i="1" s="1"/>
  <c r="Y907" i="1"/>
  <c r="AA907" i="1" s="1"/>
  <c r="Y883" i="1"/>
  <c r="AA883" i="1" s="1"/>
  <c r="Y829" i="1"/>
  <c r="AA829" i="1" s="1"/>
  <c r="Y24" i="1"/>
  <c r="AA24" i="1" s="1"/>
  <c r="Y331" i="1"/>
  <c r="AA331" i="1" s="1"/>
  <c r="Z263" i="1"/>
  <c r="Y637" i="1"/>
  <c r="AA637" i="1" s="1"/>
  <c r="Y649" i="1"/>
  <c r="AA649" i="1" s="1"/>
  <c r="Y596" i="1"/>
  <c r="AA596" i="1" s="1"/>
  <c r="Y561" i="1"/>
  <c r="AA561" i="1" s="1"/>
  <c r="Y210" i="1"/>
  <c r="AA210" i="1" s="1"/>
  <c r="Y202" i="1"/>
  <c r="AA202" i="1" s="1"/>
  <c r="Y17" i="1"/>
  <c r="AA17" i="1" s="1"/>
  <c r="Z29" i="1"/>
  <c r="Y1077" i="1"/>
  <c r="AA1077" i="1" s="1"/>
  <c r="Y980" i="1"/>
  <c r="AA980" i="1" s="1"/>
  <c r="Y849" i="1"/>
  <c r="AA849" i="1" s="1"/>
  <c r="Y1031" i="1"/>
  <c r="AA1031" i="1" s="1"/>
  <c r="Y935" i="1"/>
  <c r="AA935" i="1" s="1"/>
  <c r="Y557" i="1"/>
  <c r="AA557" i="1" s="1"/>
  <c r="Y503" i="1"/>
  <c r="AA503" i="1" s="1"/>
  <c r="Y495" i="1"/>
  <c r="AA495" i="1" s="1"/>
  <c r="Y465" i="1"/>
  <c r="AA465" i="1" s="1"/>
  <c r="Y34" i="1"/>
  <c r="AA34" i="1" s="1"/>
  <c r="Y514" i="1"/>
  <c r="AA514" i="1" s="1"/>
  <c r="Y26" i="1"/>
  <c r="AA26" i="1" s="1"/>
  <c r="Z22" i="1"/>
  <c r="Y176" i="1"/>
  <c r="AA176" i="1" s="1"/>
  <c r="Y208" i="1"/>
  <c r="AA208" i="1" s="1"/>
  <c r="P7" i="1" l="1"/>
  <c r="S7" i="1" s="1"/>
</calcChain>
</file>

<file path=xl/sharedStrings.xml><?xml version="1.0" encoding="utf-8"?>
<sst xmlns="http://schemas.openxmlformats.org/spreadsheetml/2006/main" count="14555" uniqueCount="1397">
  <si>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</si>
  <si>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</si>
  <si>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</si>
  <si>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</si>
  <si>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</si>
  <si>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</si>
  <si>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</si>
  <si>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</si>
  <si>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</si>
  <si>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</si>
  <si>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</si>
  <si>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</si>
  <si>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</si>
  <si>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</si>
  <si>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</si>
  <si>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</si>
  <si>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</si>
  <si>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</si>
  <si>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</si>
  <si>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</si>
  <si>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</si>
  <si>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</si>
  <si>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</si>
  <si>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</si>
  <si>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</si>
  <si>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</si>
  <si>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</si>
  <si>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</si>
  <si>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</si>
  <si>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</si>
  <si>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</si>
  <si>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</si>
  <si>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</si>
  <si>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</si>
  <si>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</si>
  <si>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</si>
  <si>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</si>
  <si>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</si>
  <si>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</si>
  <si>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</si>
  <si>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</si>
  <si>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</si>
  <si>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</si>
  <si>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</si>
  <si>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</si>
  <si>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</si>
  <si>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</si>
  <si>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</si>
  <si>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</si>
  <si>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</si>
  <si>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</si>
  <si>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</si>
  <si>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</si>
  <si>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</si>
  <si>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</si>
  <si>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</si>
  <si>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</si>
  <si>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</si>
  <si>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</si>
  <si>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</si>
  <si>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</si>
  <si>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</si>
  <si>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</si>
  <si>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</si>
  <si>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</si>
  <si>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</si>
  <si>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</si>
  <si>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</si>
  <si>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</si>
  <si>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</si>
  <si>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</si>
  <si>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</si>
  <si>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</si>
  <si>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</si>
  <si>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</si>
  <si>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</si>
  <si>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</si>
  <si>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</si>
  <si>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</si>
  <si>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</si>
  <si>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</si>
  <si>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</si>
  <si>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</si>
  <si>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</si>
  <si>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</si>
  <si>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</si>
  <si>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</si>
  <si>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</si>
  <si>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</si>
  <si>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</si>
  <si>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</si>
  <si>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</si>
  <si>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</si>
  <si>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</si>
  <si>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</si>
  <si>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</si>
  <si>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</si>
  <si>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</si>
  <si>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</si>
  <si>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</si>
  <si>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</si>
  <si>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</si>
  <si>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</si>
  <si>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</si>
  <si>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</si>
  <si>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</si>
  <si>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</si>
  <si>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</si>
  <si>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</si>
  <si>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</si>
  <si>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</si>
  <si>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</si>
  <si>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</si>
  <si>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</si>
  <si>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</si>
  <si>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</si>
  <si>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</si>
  <si>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</si>
  <si>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</si>
  <si>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</si>
  <si>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</si>
  <si>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</si>
  <si>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</si>
  <si>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</si>
  <si>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</si>
  <si>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</si>
  <si>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</si>
  <si>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</si>
  <si>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</si>
  <si>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</si>
  <si>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</si>
  <si>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</si>
  <si>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</si>
  <si>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</si>
  <si>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</si>
  <si>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</si>
  <si>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</si>
  <si>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</si>
  <si>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</si>
  <si>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</si>
  <si>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</si>
  <si>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</si>
  <si>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</si>
  <si>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</si>
  <si>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</si>
  <si>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</si>
  <si>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</si>
  <si>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</si>
  <si>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</si>
  <si>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</si>
  <si>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</si>
  <si>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</si>
  <si>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</si>
  <si>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</si>
  <si>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</si>
  <si>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</si>
  <si>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</si>
  <si>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</si>
  <si>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</si>
  <si>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</si>
  <si>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</si>
  <si>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</si>
  <si>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</si>
  <si>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</si>
  <si>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</si>
  <si>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</si>
  <si>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</si>
  <si>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</si>
  <si>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</si>
  <si>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</si>
  <si>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</si>
  <si>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</si>
  <si>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</si>
  <si>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</si>
  <si>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</si>
  <si>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</si>
  <si>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</si>
  <si>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</si>
  <si>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</si>
  <si>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</si>
  <si>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</si>
  <si>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</si>
  <si>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</si>
  <si>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</si>
  <si>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</si>
  <si>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</si>
  <si>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</si>
  <si>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</si>
  <si>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</si>
  <si>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</si>
  <si>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</si>
  <si>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</si>
  <si>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</si>
  <si>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</si>
  <si>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</si>
  <si>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</si>
  <si>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</si>
  <si>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</si>
  <si>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</si>
  <si>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</si>
  <si>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</si>
  <si>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</si>
  <si>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</si>
  <si>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</si>
  <si>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</si>
  <si>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</si>
  <si>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</si>
  <si>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</si>
  <si>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</si>
  <si>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</si>
  <si>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</si>
  <si>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</si>
  <si>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</si>
  <si>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</si>
  <si>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</si>
  <si>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</si>
  <si>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</si>
  <si>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</si>
  <si>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</si>
  <si>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</si>
  <si>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</si>
  <si>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</si>
  <si>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</si>
  <si>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</si>
  <si>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</si>
  <si>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</si>
  <si>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</si>
  <si>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</si>
  <si>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</si>
  <si>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</si>
  <si>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</si>
  <si>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</si>
  <si>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</si>
  <si>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</si>
  <si>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</si>
  <si>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</si>
  <si>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</si>
  <si>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</si>
  <si>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</si>
  <si>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</si>
  <si>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</si>
  <si>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</si>
  <si>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</si>
  <si>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</si>
  <si>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</si>
  <si>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</si>
  <si>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</si>
  <si>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</si>
  <si>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</si>
  <si>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</si>
  <si>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</si>
  <si>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</si>
  <si>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</si>
  <si>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</si>
  <si>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</si>
  <si>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</si>
  <si>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</si>
  <si>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</si>
  <si>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</si>
  <si>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</si>
  <si>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</si>
  <si>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</si>
  <si>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</si>
  <si>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</si>
  <si>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</si>
  <si>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</si>
  <si>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</si>
  <si>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</si>
  <si>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</si>
  <si>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</si>
  <si>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</si>
  <si>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</si>
  <si>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</si>
  <si>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</si>
  <si>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</si>
  <si>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</si>
  <si>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</si>
  <si>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</si>
  <si>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</si>
  <si>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</si>
  <si>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</si>
  <si>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</si>
  <si>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</si>
  <si>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</si>
  <si>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</si>
  <si>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</si>
  <si>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</si>
  <si>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</si>
  <si>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</si>
  <si>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</si>
  <si>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</si>
  <si>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</si>
  <si>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</si>
  <si>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</si>
  <si>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</si>
  <si>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</si>
  <si>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</si>
  <si>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</si>
  <si>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</si>
  <si>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</si>
  <si>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</si>
  <si>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</si>
  <si>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</si>
  <si>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</si>
  <si>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</si>
  <si>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</si>
  <si>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</si>
  <si>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</si>
  <si>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</si>
  <si>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</si>
  <si>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</si>
  <si>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</si>
  <si>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</si>
  <si>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</si>
  <si>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</si>
  <si>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</si>
  <si>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</si>
  <si>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</si>
  <si>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</si>
  <si>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</si>
  <si>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</si>
  <si>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</si>
  <si>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</si>
  <si>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</si>
  <si>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</si>
  <si>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</si>
  <si>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</si>
  <si>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</si>
  <si>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</si>
  <si>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</si>
  <si>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</si>
  <si>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</si>
  <si>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</si>
  <si>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</si>
  <si>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</si>
  <si>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</si>
  <si>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</si>
  <si>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</si>
  <si>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</si>
  <si>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</si>
  <si>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</si>
  <si>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</si>
  <si>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</si>
  <si>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</si>
  <si>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</si>
  <si>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</si>
  <si>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</si>
  <si>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</si>
  <si>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</si>
  <si>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</si>
  <si>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</si>
  <si>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</si>
  <si>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</si>
  <si>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</si>
  <si>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</si>
  <si>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</si>
  <si>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</si>
  <si>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</si>
  <si>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</si>
  <si>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</si>
  <si>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</si>
  <si>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</si>
  <si>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</si>
  <si>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</si>
  <si>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</si>
  <si>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</si>
  <si>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</si>
  <si>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</si>
  <si>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</si>
  <si>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</si>
  <si>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</si>
  <si>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</si>
  <si>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</si>
  <si>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</si>
  <si>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</si>
  <si>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</si>
  <si>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</si>
  <si>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</si>
  <si>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</si>
  <si>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</si>
  <si>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</si>
  <si>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</si>
  <si>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</si>
  <si>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</si>
  <si>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</si>
  <si>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</si>
  <si>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</si>
  <si>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</si>
  <si>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</si>
  <si>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</si>
  <si>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</si>
  <si>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</si>
  <si>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</si>
  <si>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</si>
  <si>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</si>
  <si>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</si>
  <si>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</si>
  <si>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</si>
  <si>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</si>
  <si>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</si>
  <si>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</si>
  <si>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</si>
  <si>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</si>
  <si>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</si>
  <si>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</si>
  <si>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</si>
  <si>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</si>
  <si>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</si>
  <si>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</si>
  <si>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</si>
  <si>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</si>
  <si>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</si>
  <si>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</si>
  <si>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</si>
  <si>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</si>
  <si>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</si>
  <si>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</si>
  <si>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</si>
  <si>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</si>
  <si>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</si>
  <si>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</si>
  <si>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</si>
  <si>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</si>
  <si>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</si>
  <si>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</si>
  <si>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</si>
  <si>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</si>
  <si>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</si>
  <si>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</si>
  <si>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</si>
  <si>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</si>
  <si>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</si>
  <si>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</si>
  <si>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</si>
  <si>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</si>
  <si>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</si>
  <si>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</si>
  <si>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</si>
  <si>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</si>
  <si>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</si>
  <si>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</si>
  <si>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</si>
  <si>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</si>
  <si>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</si>
  <si>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</si>
  <si>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</si>
  <si>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</si>
  <si>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</si>
  <si>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</si>
  <si>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</si>
  <si>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</si>
  <si>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</si>
  <si>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</si>
  <si>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</si>
  <si>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</si>
  <si>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</si>
  <si>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</si>
  <si>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</si>
  <si>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</si>
  <si>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</si>
  <si>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</si>
  <si>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</si>
  <si>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</si>
  <si>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</si>
  <si>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</si>
  <si>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</si>
  <si>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</si>
  <si>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</si>
  <si>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</si>
  <si>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</si>
  <si>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</si>
  <si>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</si>
  <si>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</si>
  <si>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</si>
  <si>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</si>
  <si>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</si>
  <si>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</si>
  <si>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</si>
  <si>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</si>
  <si>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</si>
  <si>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</si>
  <si>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</si>
  <si>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</si>
  <si>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</si>
  <si>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</si>
  <si>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</si>
  <si>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</si>
  <si>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</si>
  <si>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</si>
  <si>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</si>
  <si>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</si>
  <si>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</si>
  <si>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</si>
  <si>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</si>
  <si>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</si>
  <si>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</si>
  <si>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</si>
  <si>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</si>
  <si>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</si>
  <si>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</si>
  <si>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</si>
  <si>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</si>
  <si>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</si>
  <si>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</si>
  <si>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</si>
  <si>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</si>
  <si>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</si>
  <si>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</si>
  <si>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</si>
  <si>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</si>
  <si>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</si>
  <si>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</si>
  <si>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</si>
  <si>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</si>
  <si>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</si>
  <si>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</si>
  <si>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</si>
  <si>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</si>
  <si>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</si>
  <si>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</si>
  <si>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</si>
  <si>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</si>
  <si>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</si>
  <si>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</si>
  <si>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</si>
  <si>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</si>
  <si>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</si>
  <si>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</si>
  <si>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</si>
  <si>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</si>
  <si>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</si>
  <si>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</si>
  <si>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</si>
  <si>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</si>
  <si>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</si>
  <si>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</si>
  <si>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</si>
  <si>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</si>
  <si>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</si>
  <si>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</si>
  <si>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</si>
  <si>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</si>
  <si>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</si>
  <si>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</si>
  <si>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</si>
  <si>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</si>
  <si>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</si>
  <si>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</si>
  <si>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</si>
  <si>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</si>
  <si>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</si>
  <si>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</si>
  <si>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</si>
  <si>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</si>
  <si>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</si>
  <si>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</si>
  <si>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</si>
  <si>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</si>
  <si>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</si>
  <si>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</si>
  <si>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</si>
  <si>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</si>
  <si>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</si>
  <si>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</si>
  <si>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</si>
  <si>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</si>
  <si>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</si>
  <si>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</si>
  <si>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</si>
  <si>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</si>
  <si>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</si>
  <si>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</si>
  <si>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</si>
  <si>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</si>
  <si>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</si>
  <si>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</si>
  <si>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</si>
  <si>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</si>
  <si>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</si>
  <si>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</si>
  <si>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</si>
  <si>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</si>
  <si>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</si>
  <si>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</si>
  <si>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</si>
  <si>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</si>
  <si>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</si>
  <si>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</si>
  <si>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</si>
  <si>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</si>
  <si>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</si>
  <si>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</si>
  <si>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</si>
  <si>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Suministro de materiales, equipos y herramientas para el mejoramiento integral de las instalaciones de la UAE Cuerpo Oficial de Bomberos -SGC</t>
  </si>
  <si>
    <t>80101600;81101500;72101500;72121400</t>
  </si>
  <si>
    <t>47111500; 47111700</t>
  </si>
  <si>
    <t>81101500;80101600</t>
  </si>
  <si>
    <t>Elaboración de estudios y diseños técnicos para la construcción de la estación de bomberos de Puente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</si>
  <si>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</si>
  <si>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</si>
  <si>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</si>
  <si>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</si>
  <si>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</si>
  <si>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</si>
  <si>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</si>
  <si>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</si>
  <si>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</si>
  <si>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</si>
  <si>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</si>
  <si>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</si>
  <si>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</si>
  <si>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</si>
  <si>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</si>
  <si>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</si>
  <si>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</si>
  <si>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</si>
  <si>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</si>
  <si>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</si>
  <si>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</si>
  <si>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</si>
  <si>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</si>
  <si>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</si>
  <si>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</si>
  <si>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</si>
  <si>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</si>
  <si>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</si>
  <si>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</si>
  <si>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</si>
  <si>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</si>
  <si>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</si>
  <si>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</si>
  <si>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</si>
  <si>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</si>
  <si>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</si>
  <si>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</si>
  <si>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</si>
  <si>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</si>
  <si>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</si>
  <si>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</si>
  <si>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</si>
  <si>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</si>
  <si>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</si>
  <si>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</si>
  <si>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</si>
  <si>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</si>
  <si>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</si>
  <si>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</si>
  <si>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</si>
  <si>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</si>
  <si>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</si>
  <si>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</si>
  <si>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</si>
  <si>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</si>
  <si>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</si>
  <si>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</si>
  <si>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</si>
  <si>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</si>
  <si>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</si>
  <si>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</si>
  <si>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</si>
  <si>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</si>
  <si>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</si>
  <si>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</si>
  <si>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</si>
  <si>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</si>
  <si>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</si>
  <si>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</si>
  <si>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</si>
  <si>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</si>
  <si>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</si>
  <si>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</si>
  <si>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</si>
  <si>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Prestar servicios profesionales en la Dirección General para apoyar las actividades de cooperación técnica internacional y articulación interinstitucional de conformidad a la misionalidad de la Entidad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</si>
  <si>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</si>
  <si>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</si>
  <si>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</si>
  <si>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</si>
  <si>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</si>
  <si>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</si>
  <si>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</si>
  <si>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</si>
  <si>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</si>
  <si>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</si>
  <si>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</si>
  <si>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</si>
  <si>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</si>
  <si>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</si>
  <si>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</si>
  <si>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</si>
  <si>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</si>
  <si>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</si>
  <si>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</si>
  <si>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</si>
  <si>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</si>
  <si>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</si>
  <si>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</si>
  <si>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</si>
  <si>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</si>
  <si>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</si>
  <si>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</si>
  <si>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</si>
  <si>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</si>
  <si>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</si>
  <si>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</si>
  <si>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</si>
  <si>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</si>
  <si>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</si>
  <si>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</si>
  <si>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</si>
  <si>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</si>
  <si>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</si>
  <si>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</si>
  <si>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</si>
  <si>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</si>
  <si>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</si>
  <si>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</si>
  <si>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</si>
  <si>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</si>
  <si>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</si>
  <si>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</si>
  <si>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</si>
  <si>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</si>
  <si>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</si>
  <si>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</si>
  <si>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</si>
  <si>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</si>
  <si>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</si>
  <si>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</si>
  <si>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</si>
  <si>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</si>
  <si>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</si>
  <si>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</si>
  <si>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</si>
  <si>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</si>
  <si>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</si>
  <si>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</si>
  <si>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</si>
  <si>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</si>
  <si>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</si>
  <si>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</si>
  <si>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</si>
  <si>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</si>
  <si>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</si>
  <si>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</si>
  <si>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</si>
  <si>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</si>
  <si>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</si>
  <si>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</si>
  <si>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</si>
  <si>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</si>
  <si>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</si>
  <si>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</si>
  <si>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</si>
  <si>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</si>
  <si>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</si>
  <si>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</si>
  <si>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</si>
  <si>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</si>
  <si>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</si>
  <si>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</si>
  <si>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</si>
  <si>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</si>
  <si>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</si>
  <si>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</si>
  <si>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</si>
  <si>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</si>
  <si>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</si>
  <si>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</si>
  <si>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</si>
  <si>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</si>
  <si>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</si>
  <si>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</si>
  <si>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</si>
  <si>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</si>
  <si>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</si>
  <si>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</si>
  <si>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</si>
  <si>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</si>
  <si>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</si>
  <si>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</si>
  <si>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</si>
  <si>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</si>
  <si>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</si>
  <si>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</si>
  <si>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</si>
  <si>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</si>
  <si>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</si>
  <si>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</si>
  <si>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</si>
  <si>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</si>
  <si>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</si>
  <si>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</si>
  <si>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</si>
  <si>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</si>
  <si>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</si>
  <si>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</si>
  <si>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</si>
  <si>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renovación de garantía y soporte de fabrica de los equipos activos que hacen parte de la infraestructura tecnológica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</si>
  <si>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</si>
  <si>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</si>
  <si>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</si>
  <si>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</si>
  <si>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</si>
  <si>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</si>
  <si>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</si>
  <si>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</si>
  <si>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</si>
  <si>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</si>
  <si>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</si>
  <si>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</si>
  <si>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</si>
  <si>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</si>
  <si>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</si>
  <si>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</si>
  <si>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</si>
  <si>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</si>
  <si>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</si>
  <si>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</si>
  <si>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</si>
  <si>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</si>
  <si>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</si>
  <si>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</si>
  <si>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</si>
  <si>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</si>
  <si>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</si>
  <si>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</si>
  <si>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</si>
  <si>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</si>
  <si>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</si>
  <si>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</si>
  <si>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</si>
  <si>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</si>
  <si>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</si>
  <si>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</si>
  <si>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</si>
  <si>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</si>
  <si>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</si>
  <si>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48101800;
48101915;
24112601;
49121509;</t>
  </si>
  <si>
    <t>76101501;
47131829;</t>
  </si>
  <si>
    <t>55121715;</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</si>
  <si>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</si>
  <si>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</si>
  <si>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</si>
  <si>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</si>
  <si>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</si>
  <si>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</si>
  <si>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</si>
  <si>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</si>
  <si>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</si>
  <si>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</si>
  <si>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</si>
  <si>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</si>
  <si>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</si>
  <si>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</si>
  <si>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</si>
  <si>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</si>
  <si>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</si>
  <si>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</si>
  <si>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</si>
  <si>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</si>
  <si>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</si>
  <si>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</si>
  <si>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</si>
  <si>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</si>
  <si>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</si>
  <si>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</si>
  <si>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</si>
  <si>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</si>
  <si>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</si>
  <si>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</si>
  <si>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</si>
  <si>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</si>
  <si>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</si>
  <si>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</si>
  <si>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</si>
  <si>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</si>
  <si>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</si>
  <si>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</si>
  <si>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</si>
  <si>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</si>
  <si>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</si>
  <si>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</si>
  <si>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</si>
  <si>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</si>
  <si>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</si>
  <si>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</si>
  <si>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</si>
  <si>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</si>
  <si>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</si>
  <si>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</si>
  <si>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</si>
  <si>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</si>
  <si>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</si>
  <si>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 xml:space="preserve"> </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</si>
  <si>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</si>
  <si>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</si>
  <si>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</si>
  <si>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</si>
  <si>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</si>
  <si>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</si>
  <si>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</si>
  <si>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</si>
  <si>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</si>
  <si>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</si>
  <si>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</si>
  <si>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</si>
  <si>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</si>
  <si>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</si>
  <si>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</si>
  <si>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</si>
  <si>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</si>
  <si>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</si>
  <si>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</si>
  <si>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</si>
  <si>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</si>
  <si>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</si>
  <si>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</si>
  <si>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</si>
  <si>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</si>
  <si>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</si>
  <si>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</si>
  <si>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</si>
  <si>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</si>
  <si>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</si>
  <si>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</si>
  <si>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</si>
  <si>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</si>
  <si>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</si>
  <si>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</si>
  <si>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</si>
  <si>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</si>
  <si>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</si>
  <si>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</si>
  <si>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</si>
  <si>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</si>
  <si>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</si>
  <si>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</si>
  <si>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</si>
  <si>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</si>
  <si>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</si>
  <si>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</si>
  <si>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</si>
  <si>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</si>
  <si>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</si>
  <si>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</si>
  <si>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</si>
  <si>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</si>
  <si>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</si>
  <si>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</si>
  <si>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</si>
  <si>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</si>
  <si>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</si>
  <si>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</si>
  <si>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</si>
  <si>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</si>
  <si>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</si>
  <si>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</si>
  <si>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</si>
  <si>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</si>
  <si>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</si>
  <si>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</si>
  <si>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</si>
  <si>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</si>
  <si>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</si>
  <si>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</si>
  <si>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</si>
  <si>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</si>
  <si>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</si>
  <si>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</si>
  <si>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</si>
  <si>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</si>
  <si>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</si>
  <si>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</si>
  <si>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</si>
  <si>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</si>
  <si>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</si>
  <si>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</si>
  <si>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</si>
  <si>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</si>
  <si>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</si>
  <si>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</si>
  <si>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</si>
  <si>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</si>
  <si>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</si>
  <si>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</si>
  <si>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</si>
  <si>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</si>
  <si>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</si>
  <si>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</si>
  <si>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</si>
  <si>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</si>
  <si>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</si>
  <si>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</si>
  <si>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</si>
  <si>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</si>
  <si>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</si>
  <si>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</si>
  <si>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</si>
  <si>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</si>
  <si>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</si>
  <si>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</si>
  <si>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</si>
  <si>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</si>
  <si>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</si>
  <si>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</si>
  <si>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</si>
  <si>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</si>
  <si>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</si>
  <si>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</si>
  <si>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</si>
  <si>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</si>
  <si>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</si>
  <si>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</si>
  <si>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</si>
  <si>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072 de 2025 con objeto "Prestación de servicios de profesionales a la gestión en la Dirección para el acompañamiento en las labores administrativas en asuntos de Comunicaciones y Prensa de la UAECOB"</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</si>
  <si>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</si>
  <si>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</si>
  <si>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</si>
  <si>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</si>
  <si>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</si>
  <si>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</si>
  <si>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</si>
  <si>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</si>
  <si>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49201501; 49201503; 49201516; 
 49201604</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</si>
  <si>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</si>
  <si>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</si>
  <si>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</si>
  <si>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</si>
  <si>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</si>
  <si>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</si>
  <si>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</si>
  <si>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</si>
  <si>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</si>
  <si>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</si>
  <si>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</si>
  <si>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</si>
  <si>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</si>
  <si>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</si>
  <si>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</si>
  <si>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</si>
  <si>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</si>
  <si>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</si>
  <si>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</si>
  <si>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</si>
  <si>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</si>
  <si>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</si>
  <si>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r>
      <t>Interventoría técnica, admini</t>
    </r>
    <r>
      <rPr>
        <b/>
        <sz val="11"/>
        <rFont val="Tahoma"/>
        <family val="2"/>
      </rPr>
      <t>s</t>
    </r>
    <r>
      <rPr>
        <sz val="11"/>
        <rFont val="Tahoma"/>
        <family val="2"/>
      </rPr>
      <t>trativa, financiera, contable, jurídica y ambiental para la elaboración de estudios y diseños técnicos para la construcción de la estación de Bomberos de Puente Aranda B-4 de la UAE Cuerpo Oficial de Bomberos de Bogotá – SGC</t>
    </r>
  </si>
  <si>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t>
  </si>
  <si>
    <t>ADICIÓN Y PRÓRROGA AL CPS 328-2025 cuyo objeto es: prestación de servicios para dar el apoyo y realizar la gestión administrativa requerida en la estación de bomberos asignada y a cargo de la subdirección operativa s.o.</t>
  </si>
  <si>
    <t>ADICIÓN Y PRÓRROGA AL CPS 345-2025 cuyo objeto es: prestación de servicios para dar el apoyo y realizar la gestión administrativa requerida en la estación de bomberos asignada y a cargo de la subdirección operativa s.o.</t>
  </si>
  <si>
    <t>ADICIÓN Y PRÓRROGA AL CPS 350-2025 cuyo objeto es: prestación de servicios para dar el apoyo y realizar la gestión administrativa requerida en la estación de bomberos asignada y a cargo de la subdirección operativa s.o.</t>
  </si>
  <si>
    <t>ADICIÓN Y PRÓRROGA AL CPS 395-2025 cuyo objeto es: prestación de servicios para dar el apoyo y realizar la gestión administrativa requerida en la estación de bomberos asignada y a cargo de la subdirección operativa s.o.</t>
  </si>
  <si>
    <t>ADICIÓN Y PRÓRROGA AL CPS 419-2025 cuyo objeto es: prestación de servicios para dar el apoyo y realizar la gestión administrativa requerida en la estación de bomberos asignada y a cargo de la subdirección operativa s.o.</t>
  </si>
  <si>
    <t>ADICIÓN Y PRÓRROGA AL CPS 423-2025 cuyo objeto es: prestación de servicios para dar el apoyo y realizar la gestión administrativa requerida en la estación de bomberos asignada y a cargo de la subdirección operativa s.o.</t>
  </si>
  <si>
    <t>ADICIÓN Y PRÓRROGA AL CPS 425-2025 cuyo objeto es: Prestación de servicios para dar el apoyo y realizar la gestión administrativa requerida en la estación de bomberos asignada y a cargo de la subdirección operativa s.o.</t>
  </si>
  <si>
    <t>ADICIÓN Y PRÓRROGA AL CPS 364-2025 cuyo objeto es: Prestación de servicios para apoyar la gestión administrativa y documental requerida a cargo de la Subdirección Operativa S.O.</t>
  </si>
  <si>
    <t>ADICIÓN Y PRÓRROGA AL CPS 401-2025 cuyo objeto es: prestación de servicios para dar el apoyo y realizar la gestión administrativa requerida en la estación de bomberos asignada y a cargo de la subdirección operativa s.o.</t>
  </si>
  <si>
    <t>ADICIÓN Y PRÓRROGA AL CPS 461-2025 cuyo objeto es: prestación de servicios para dar el apoyo y realizar la gestión administrativa requerida en la estación de bomberos asignada y a cargo de la subdirección operativa s.o.</t>
  </si>
  <si>
    <t>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t>
  </si>
  <si>
    <t>ADICIÓN Y PRÓRROGA AL CPS 191-2025 cuyo objeto es: prestación de servicios de apoyo para desarrollar y mantener las condiciones básicas de bienestar de los caninos y de animales rescatados o recuperados que atiende el grupo brae a cargo de la subdirección operativa s.o.</t>
  </si>
  <si>
    <t>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t>
  </si>
  <si>
    <t>ADICIÓN Y PRÓRROGA AL CPS 236-2025 cuyo objeto es: prestación de servicios de apoyo para ejecutar las actividades administrativas, de gestión , trámite, seguimiento y verificación de solicitudes recibidas en el canal de comunicación de gestión operativa. - s.o.</t>
  </si>
  <si>
    <t>ADICIÓN Y PRÓRROGA AL CPS 307-2025 cuyo objeto es: prestación de servicios profesionales para ejecutar las actividades misionales en la elaboración, diseño y diagramación de piezas requeridas para los planes, programas, proyectos y procedimientos- s.o.</t>
  </si>
  <si>
    <t xml:space="preserve">ADICIÓN Y PRÓRROGA AL CPS 488-2025 cuyo objeto es: Prestación de servicios de apoyo para desarrollar y mantener las condiciones básicas de bienestar de los caninos y de  animales rescatados o recuperados que atiende el grupo BRAE a Cargo de la Subdirección Operativa </t>
  </si>
  <si>
    <t>ADICIÓN Y PRÓRROGA AL CPS 320-2025  CUYO OBJETO ES: prestación de servicios para dar el apoyo y realizar  la gestión administrativa requerida  en la estación de bomberos asignada y a cargo de la subdirección operativa  s.o.</t>
  </si>
  <si>
    <t>Adición y prorroga cto 238-2025 "Prestar servicios profesionales para la gestión de la SGR, estructurando el seguimiento de los procesos contractuales y seguimiento de los proyectos de inversión de la UAECOB._SGR"</t>
  </si>
  <si>
    <t>Adición y prorroga cto 418-2025 "prestar servicios profesionales para las actividades de la Subdireccion de Gestion del Riesgo relacionadas con la gestion de los aspectos tecnologicos e informaticos._SGR"</t>
  </si>
  <si>
    <t>Adición y prorroga cto 273-2025 Prestar servicios de apoyo a la gestión como conductor en la Subdirección de Gestión del Riesgo._SGR</t>
  </si>
  <si>
    <t>Adición y prorroga cto  84-2025 Prestar  servicios profesionales en las actividades de proyeccion e innovacion para la Subdirección de Gestión del Riesgo._SGR</t>
  </si>
  <si>
    <t>Adición y prorroga cto   344-2025  Prestar servicios profesionales en las actividades de monitoreo del riesgo para la Subdirección de Gestión del Riesgo._SGR</t>
  </si>
  <si>
    <t>Adición y prorroga cto  341-2025 Prestar  servicios profesionales en las actividades de proyeccion e innovacion para la Subdirección de Gestión del Riesgo._SGR</t>
  </si>
  <si>
    <t>Adición y prorroga cto 206-2025  Prestar sus servicios profesionales en las actividades relacionadas con la emision de conceptos a cargo de la Subdirección de Gestión del Riesgo._SGR</t>
  </si>
  <si>
    <t>Adición y prorroga cto 335-2025 Prestar sus servicios de apoyo tecnico para realizar las inspecciones relacionadas con la emision de conceptos a cargo de la Subdirección de Gestión del Riesgo._SGR</t>
  </si>
  <si>
    <t>Adición y prorroga cto 365-2025 Prestar servicios profesionales en las actividades de monitoreo del riesgo para la Subdirección de Gestión del Riesgo._SGR</t>
  </si>
  <si>
    <t>Adición y prorroga cto 299-2025 Prestar servicios de apoyo a la gestion en las actividades de monitoreo del riesgo para la Subdirección de Gestión del Riesgo._SGR</t>
  </si>
  <si>
    <t>Adición y prorroga cto  433-2025 Prestar servicios profesionales en las actividades de monitoreo del riesgo para la Subdirección de Gestión del Riesgo._SGR</t>
  </si>
  <si>
    <t>Adición y prorroga cto  204-2025  Prestar servicios de apoyo en las actividades de Programas y Campañas de Prevención para la Subdirección de Gestión del Riesgo._SGR</t>
  </si>
  <si>
    <t>Adición y prorroga cto 192-2025 Prestar servicios profesionales para la gestión de la SGR, en su compomente técnico, administrativo y análisis financiero._SGR.</t>
  </si>
  <si>
    <t>Adición y prorroga ct 37-2025 Prestar sus servicios profesionales en las actividades relacionadas con la emision de conceptos a cargo de la Subdirección de Gestión del Riesgo._SGR</t>
  </si>
  <si>
    <t>Adición y prorroga ct 185-2025 Prestar sus servicios profesionales en las actividades relacionadas con la emision de conceptos a cargo de la Subdirección de Gestión del Riesgo._SGR</t>
  </si>
  <si>
    <t xml:space="preserve"> Adición y prorroga ct 76-2025 Prestar sus servicios de apoyo tecnico para realizar las inspecciones relacionadas con la emision de conceptos a cargo de la Subdirección de Gestión del Riesgo._SGR</t>
  </si>
  <si>
    <t xml:space="preserve"> Adición y prorroga ct 21 -2025 Prestar sus servicios de apoyo tecnico para realizar las inspecciones relacionadas con la emision de conceptos a cargo de la Subdirección de Gestión del Riesgo._SGR</t>
  </si>
  <si>
    <t xml:space="preserve"> Adición y prorroga ct 33 -2025 Prestar sus servicios de apoyo tecnico para realizar las inspecciones relacionadas con la emision de conceptos a cargo de la Subdirección de Gestión del Riesgo._SGR</t>
  </si>
  <si>
    <t xml:space="preserve"> Adición y prorroga ct 22 -2025 Prestar sus servicios de apoyo tecnico para realizar las inspecciones relacionadas con la emision de conceptos a cargo de la Subdirección de Gestión del Riesgo._SGR</t>
  </si>
  <si>
    <t xml:space="preserve"> Adición y prorroga ct 43 -2025 Prestar sus servicios de apoyo tecnico para realizar las inspecciones relacionadas con la emision de conceptos a cargo de la Subdirección de Gestión del Riesgo._SGR</t>
  </si>
  <si>
    <t xml:space="preserve">  Adición y prorroga ct 304 -2025 Prestar sus servicios de apoyo tecnico para realizar las inspecciones relacionadas con la emision de conceptos a cargo de la Subdirección de Gestión del Riesgo._SGR</t>
  </si>
  <si>
    <t xml:space="preserve">  Adición y prorroga ct 188 -2025Prestar sus servicios de apoyo tecnico para realizar las inspecciones relacionadas con la emision de conceptos a cargo de la Subdirección de Gestión del Riesgo._SGR</t>
  </si>
  <si>
    <t xml:space="preserve">  Adición y prorroga ct 283 -2025 Prestar sus servicios de apoyo tecnico para realizar las inspecciones relacionadas con la emision de conceptos a cargo de la Subdirección de Gestión del Riesgo._SGR</t>
  </si>
  <si>
    <t xml:space="preserve">  Adición y prorroga ct 381 -2025 Prestar servicios profesionales en los procesos de formacion y capacitacion de la subdirección de gestión del riesgo._SGR</t>
  </si>
  <si>
    <t xml:space="preserve">  Adición y prorroga ct 142-2025 Prestar servicios profesionales para la gestión de la SGR, estructurando el seguimiento de los procesos contractuales y demás aspectos jurídicos._SGR</t>
  </si>
  <si>
    <t xml:space="preserve">  Adición y prorroga ct 140-2025 Prestar servicios profesionales para el seguimiento de los componentes administrativo, técnico y financiero de la subdireccíon de Gestión del Riesgo. SGR</t>
  </si>
  <si>
    <t>Adición y prorroga cto 158-2025  " Prestar servicios profesionales a la Subdirección de Gestión del Riesgo liderando las actividades del proceso de inspecciones técnicas del Riesgo._SGR"</t>
  </si>
  <si>
    <t xml:space="preserve">Adicion y prorroga del Contrato 324 2025 cuyo objeto es  "Prestar servicios de apoyo en asuntos administrativos, financieros, documentales y emisión de informes a cargo de la Subdireccion Logística-SBLG".  </t>
  </si>
  <si>
    <t xml:space="preserve">Adicion y prorroga del Contrato 475 2025 cuyo objeto es: "Prestar servicios profesionales para el seguimiento y gestión de las actividades establecidas en los planes de acción y estratégicos; así como, de los procesos de planeación y administrativos propios de Subdirección Logística - SBLG". </t>
  </si>
  <si>
    <t>Adicion y prorroga del Contrato 102 2025 cuyo objeto es: "Prestación de servicios profesionales en la proyección y seguimiento de las etapas precontractual, contractual y postcontractual que desarrolle la Subdirección Logística en el ámbito de su competencia.- SBLG"</t>
  </si>
  <si>
    <t>Adicion y prorroga del Contrato 302 2025 cuyo objeto es: "Prestación de servicios profesionales, para apoyar la estructuración y seguimiento de los asuntos contractuales y jurídicos que requiera la Subdirección Logística en el ámbito de su competencia.- SBLG".</t>
  </si>
  <si>
    <t>Adicion y prorroga del Contrato 282 2025 cuyo objeto es: "Prestación de servicios profesionales para realizar el seguimiento y monitoreo a los diferentes procesos y procedimientos del equipo menor a cargo de la Subdirección Logística -  - SBLG".</t>
  </si>
  <si>
    <t>Adicion y prorroga del Contrato 159 2025 cuyo objeto es: "Prestar servicios profesionales para el seguimiento y control logístico en la cadena de suministros e insumos en la atención de emergencias garantizando la entrega de los bienes y servicios de la Subdirección Logística. SBLG"</t>
  </si>
  <si>
    <t>Prestar servicios profesionales  en las actividades de Programas y Campañas de Prevención para la Subdirección de Gestión del Riesgo. _SGR</t>
  </si>
  <si>
    <t>Adición No. 8 y prórroga No.10 al contrato 409 de 2021 que tiene como objeto "Prestar los servicios de Custodia, Consulta y Traslado Documental de Acuerdo a las especificaciones Técnicas y requisitos contemplados en la normatividad Archivística Vigente-SGC</t>
  </si>
  <si>
    <t>78131800;
80101500;
80101600;
80161500;
81111900;
81112000</t>
  </si>
  <si>
    <t>Adición No.1 al contrato 483 de 2025 que tiene por objeto "Suministro de materiales, equipos y herramientas para el mejoramiento integral de las instalaciones de la UAE Cuerpo Oficial de Bomberos -SGC</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</si>
  <si>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</si>
  <si>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1 y prórroga No. 2 al contrato 396 de 2024 que tiene por objeto" 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</si>
  <si>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Adición y prórroga al contrato 237-2025 con objeto "Prestar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</si>
  <si>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Adición y prórroga al contrato 209-2025 con objeto "Prestar servicios de apoyo a la gestión en asuntos de comunicaciones y prensa para realizar labores de diseño y diagramación de productos editoriales de la UAECOB"</t>
  </si>
  <si>
    <t>Prestar servicios profesionales para apoyar la planeación y gestión de las  estrategias de reducción y/o conocimiento del riesgo  para la Subdirección de Gestión del Riesgo._SGR</t>
  </si>
  <si>
    <t>13-Servicios para la planeación y sistemas de gestión y comunicación estratégica</t>
  </si>
  <si>
    <t>019_Documentos de planeación</t>
  </si>
  <si>
    <t>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t>
  </si>
  <si>
    <t>Adición y prórroga al contrato 110 de 2025, SGH - Prestar sus servicios profesionales en la Subdirección de Gestión Humana, en los procesos contractuales y demás actividades relacionadas con la Subdirección de Gestión Humana</t>
  </si>
  <si>
    <t>Adición y prórroga al contrato 263 de 2025, SGH - Prestar servicios profesionales para apoyar el programa de desórdenes musculo esqueléticos de la UAE Cuerpo Oficial de Bomberos de Bogotá.</t>
  </si>
  <si>
    <t>Adición y prórroga al contrato 162 de 2025, SGH - Prestar sus servicios profesionales en la Subdirección de Gestión Humana, en la administración de sistema de seguridad y salud en el trabajo</t>
  </si>
  <si>
    <t>Adición y prórroga al contrato 078 de 2025, SGH - Prestar servicios profesionales especializados para desarrollar actividades jurídicas en atención a los distintos requerimientos de la Subdirección de Gestión Humana.</t>
  </si>
  <si>
    <t>Adición y prórroga al contrato 093 de 2025, SGH - Prestar servicios profesionales para apoyar el programa de vigilancia epidemiológico al riesgo psicosocial y actividades de seguridad y salud en el trabajo en la Subdirección de Gestión Humana.</t>
  </si>
  <si>
    <t>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</si>
  <si>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Adición y prórroga al contrato 107 de 2025, SGH - Prestar sus servicios profesionales en la gestión contractual y presupuestal de la Subdirección de Gestión Humana de la UAE Cuerpo Oficial de Bomberos.</t>
  </si>
  <si>
    <t>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t>
  </si>
  <si>
    <t>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t>
  </si>
  <si>
    <t>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t>
  </si>
  <si>
    <t>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t>
  </si>
  <si>
    <t>43233200; 72151700;  43233200; 81112200; 72151700; 45121600</t>
  </si>
  <si>
    <t>Adición y prórroga No. 1 al contrato No. 098 de 2025 que tiene como objeto "Prestación de servicios de apoyo a la gestión en la ejecución de los planes y programas de servicio al ciudadano a cargo de la Subdirección de Gestión Corporativa.-SGC</t>
  </si>
  <si>
    <t>Adición y prórroga No. 1 al contrato No. 314 de 2025 que tiene como objeto "Prestación de servicios profesionales para articular la gestión en la ejecución de los planes y programas de servicio al ciudadano a cargo de la Subdirección de Gestión Corporativa-SGC</t>
  </si>
  <si>
    <t>Adición y prórroga No. 1 al contrato No. 153 de 2025 que tiene como objeto "Prestación de servicios de apoyo a la gestión en la ejecución de los planes y programas de servicio al ciudadano a cargo de la Subdirección de Gestión Corporativa.-SGC</t>
  </si>
  <si>
    <t>Adición y prórroga No. 1 al contrato No. 035 de 2025 que tiene como objeto "Prestación de servicios de apoyo a la gestión en la ejecución de los planes y programas de servicio al ciudadano a cargo de la Subdirección de Gestión Corporativa.-SGC</t>
  </si>
  <si>
    <t>Adición y prórroga No. 1 al contrato No. 100 de 2025 que tiene como objeto "Prestación de servicios de apoyo a la gestión en la ejecución de los planes y programas de servicio al ciudadano a cargo de la Subdirección de Gestión Corporativa. -SGC</t>
  </si>
  <si>
    <t>Adición y prórroga No. 1 al contrato No. 327 de 2025 que tiene como objeto " Prestación de servicios de apoyo a la gestión en la ejecución de los planes y programas de servicio al ciudadano a cargo de la Subdirección de Gestión Corporativa.-SGC</t>
  </si>
  <si>
    <t>Adición y prórroga No. 1 al contrato No. 171 de 2025 que tiene como objeto " Prestación de servicios de apoyo a la gestión en la ejecución de los planes y programas de servicio al ciudadano a cargo de la Subdirección de Gestión Corporativa. -SGC</t>
  </si>
  <si>
    <t>Adición y prórroga No. 1 al contrato No. 028 de 2025 que tiene como objeto "Prestación de servicios profesionales en la Subdirección de Gestión Corporativa adelantando las actividades necesarias para la ejecución del programa y los procesos de seguros de la Entidad-SGC</t>
  </si>
  <si>
    <t>Adición y prórroga No. 1 al contrato No. 343 de 2025 que tiene como objeto " Prestación de servicios de apoyo en la gestión de seguros de la Subdirección de Gestión Corporativa. –SGC</t>
  </si>
  <si>
    <t>Adición y prórroga No. 1 al contrato No. 252 de 2025 que tiene como objeto " Prestación de servicios profesionales para apoyar a la Subdirección de Gestión Corporativa aplicando los procesos y procedimientos de seguros e inventarios -SGC</t>
  </si>
  <si>
    <t>Adición y prórroga No. 1 al contrato No. 239 de 2025 que tiene como objeto " Prestación de servicios de apoyo a la gestión de seguros de la Subdirección de Gestión Corporativa. –SGC</t>
  </si>
  <si>
    <t>Adición y prórroga No. 1 al contrato No. 174 de 2025 que tiene como objeto "Prestación de servicios profesionales en la Subdirección de Gestión Corporativa en las actividades relacionadas con MIPG-SGC</t>
  </si>
  <si>
    <t>Adición y prórroga No. 1 al contrato No. 371 de 2025 que tiene como objeto " Prestar servicios profesionales para realizar acompañamiento jurídico en la elaboración de los procesos contractuales adelantados por la Subdirección Gestión Corporativa - SGC</t>
  </si>
  <si>
    <t>Adición y prórroga No. 1 al contrato No. 243 de 2025 que tiene como objeto " Prestación de servicios de apoyo a la gestión del proceso de inventarios de la Subdirección de Gestión Corporativa.-SGC</t>
  </si>
  <si>
    <t>Adición y prórroga No. 1 al contrato No. 265 de 2025 que tiene como objeto " Prestación de servicios de apoyo a la gestión del proceso de inventarios de la Subdirección de Gestión Corporativa.-SGC</t>
  </si>
  <si>
    <t>Adición y prórroga No. 1 al contrato No. 315 de 2025 que tiene como objeto " Prestación de servicios de apoyo a la gestión del proceso de inventarios de la Subdirección de Gestión Corporativa.-SGC</t>
  </si>
  <si>
    <t>Adición y prórroga No. 1 al contrato No. 124 de 2025 que tiene como objeto "Prestación de servicios de apoyo a la gestión del proceso de inventarios de la Subdirección de Gestión Corporativa.-SGC</t>
  </si>
  <si>
    <t>Adición y prórroga No. 1 al contrato No. 099 de 2025 que tiene como objeto "Prestar servicios profesionales en la Subdirección de Gestión Corporativa en lo relacionado con los procesos de inventarios, almacén y bajas-SGC</t>
  </si>
  <si>
    <t>Adición y prórroga No. 1 al contrato No. 189 de 2025 que tiene como objeto " Prestar servicios profesionales para desarrollar e implementar sistemas de información, brindar soporte, mantenimiento y generar interoperabilidad en la Subdirección de Gestión Corporativa -SGC</t>
  </si>
  <si>
    <t>Adición y prórroga No. 1 al contrato No. 212 de 2025 que tiene como objeto " Prestación de servicios profesionales para la ejecución de los procesos contables que se desarrollan en el Área Financiera de la UAE Cuerpo Oficial de Bomberos asignados.-SGC</t>
  </si>
  <si>
    <t>Adición y prórroga No. 1 al contrato No. 215 de 2025 que tiene como objeto " Prestación de servicios de apoyo a la gestión documental de la Subdirección de Gestión Corporativa de la Unidad.-SGC</t>
  </si>
  <si>
    <t>Adición y prórroga No. 1 al contrato No. 176 de 2025 que tiene como objeto " Prestación de servicios de apoyo a la gestión documental de la Subdirección de Gestión Corporativa de la Unidad.-SGC</t>
  </si>
  <si>
    <t>Adición y prórroga No. 1 al contrato No. 007 de 2025 que tiene como objeto "Prestación de servicios de apoyo a la gestión documental de la Subdirección de Gestión Corporativa de la Unidad.-SGC</t>
  </si>
  <si>
    <t>Adición y prórroga No. 1 al contrato No. 087 de 2025 que tiene como objeto "Prestación de servicios de apoyo a la gestión documental de la Subdirección de Gestión Corporativa de la Unidad.-SGC</t>
  </si>
  <si>
    <t>Adición y prórroga No. 1 al contrato No. 193 de 2025 que tiene como objeto " 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</si>
  <si>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Adición y prórroga No. 1 al contrato No. 333 de 2025 que tiene como objeto "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</si>
  <si>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Adición y prórroga No. 1 al contrato No. 170 de 2025 que tiene como objeto "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</si>
  <si>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Adición y prórroga No. 1 al contrato No. 288 de 2025 que tiene como objeto " Prestar los servicios profesionales para la gestión administrativa y operativa de la Subdirección de Gestión Corporativa en el proceso de adquisición de bienes y servicios - SGC</t>
  </si>
  <si>
    <t>Adición y prórroga No. 1 al contrato No. 260 de 2025 que tiene como objeto " Prestación de servicios de apoyo a la gestión en la Subdirección de Gestión Corporativa, en las actividades asociadas a los procesos y procedimientos del almacén de la Entidad.- SGC</t>
  </si>
  <si>
    <t>Adición y prórroga No. 1 al contrato No. 131 de 2025 que tiene como objeto " Prestar servicios profesionales en la Subdirección de Gestión Corporativa en el marco de las actividades administrativas de la Dependencia.-SGC</t>
  </si>
  <si>
    <t>Adición y prórroga No. 1 al contrato No. 357 de 2025 que tiene como objeto " Prestación de servicios profesionales, en temas jurídicos de la gestión administrativa a cargo de la Subdirección de Gestión Corporativa.- SGC</t>
  </si>
  <si>
    <t>Adición y prórroga No. 1 al contrato No. 151 de 2025 que tiene como objeto "Prestación de servicios profesionales para adelantar actividades técnicas y trámites administrativos del Área de Infraestructura de la Subdirección de Gestión Corporativa-SGC</t>
  </si>
  <si>
    <t>Adición y prórroga No. 1 al contrato No. 080 de 2025 que tiene como objeto "Prestación de servicios profesionales especializados para articular y revisar los procesos y procedimientos del área de infraestructura, así como en el apoyo a la supervisión de los contratos que le sean asignados-SGC</t>
  </si>
  <si>
    <t>Adición y prórroga No. 1 al contrato No. 085 de 2025 que tiene como objeto "Prestación de Servicios Profesionales para la formulación, seguimiento y ejecución de procesos presupuestales y financieros a cargo de la Subdirección de Gestión Corporativa-SGC</t>
  </si>
  <si>
    <t>Adición y prórroga No. 1 al contrato No. 166 de 2025 que tiene como objeto "Prestar servicios profesionales especializados para acompañar jurídicamente los procesos y procedimientos del área de infraestructura de la Subdirección de Gestión Corporativa. SGC</t>
  </si>
  <si>
    <t>Adición y prórroga No. 1 al contrato No. 332 de 2025 que tiene como objeto " Prestación de servicios profesionales para apoyar las actividades técnicas del Área de Infraestructura de la Subdirección de Gestión Corporativa-SGC</t>
  </si>
  <si>
    <t>Adición y prórroga No. 1 al contrato No. 366 de 2025 que tiene como objeto " Prestar los servicios como conductor de la Subdirección de Gestión Corporativa -SGC</t>
  </si>
  <si>
    <t>Adición y prórroga No. 1 al contrato No. 133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</si>
  <si>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015 de 2025 que tiene como objeto "Prestación de servicios profesionales al área Financiera de la Subdirección de Gestión Corporativa--SGC</t>
  </si>
  <si>
    <t>Adición y prórroga No. 1 al contrato No. 014 de 2025 que tiene como objeto "Prestación de servicios profesionales al área Financiera de la Subdirección de Gestión Corporativa--SGC</t>
  </si>
  <si>
    <t>Adición y prórroga No. 1 al contrato No. 041 de 2025 que tiene como objeto "Prestación de servicios de apoyo a la gestión del área Financiera de la Subdirección de Gestión Corporativa.-SGC</t>
  </si>
  <si>
    <t>Adición y prórroga No. 1 al contrato No. 225 de 2025 que tiene como objeto " Prestación de servicios profesionales para el seguimiento, ejecución de los procesos de gestión de pagos que se desarrollan en el área Financiera de la UAE Cuerpo Oficial de Bomberos asignados. -SGC</t>
  </si>
  <si>
    <t>Adición y prórroga No. 1 al contrato No. 358 de 2025 que tiene como objeto " Prestación de servicios profesionales especializados para apoyar las actividades de seguimiento técnico del Área de Infraestructura de la Subdirección de Gestión Corporativa-SGC</t>
  </si>
  <si>
    <t>Adición y prórroga No. 1 al contrato No. 311 de 2025 que tiene como objeto " Prestar servicios profesionales para realizar acompañamiento juridico en la elaboración de los procesos contractuales adelantados por la Subdirección Gestión Corporativa - SGC</t>
  </si>
  <si>
    <t>Adición y prórroga No. 1 al contrato No. 187 de 2025 que tiene como objeto " Prestación de servicios profesionales especializados para articular y revisar los procesos y procedimientos de la gestión administrativa a cargo de la Subdirección de Gestión Corporativa.- SGC</t>
  </si>
  <si>
    <t>Adición y prórroga No. 1 al contrato No. 228 de 2025 que tiene como objeto "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</si>
  <si>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 1 al contrato No. 376 de 2025 que tiene como objeto " Prestación de servicios de apoyo en las actividades asociadas a los procesos de almacén de la Subdirección de Gestión Corporativa SGC</t>
  </si>
  <si>
    <t>Adición y prórroga No. 1 al contrato No. 392 de 2025 que tiene como objeto " Prestación de servicios de apoyo a la gestión de los procesos contractuales en la plataforma SECOP II a cargo de la Subdirección de Gestión Corporativa-SGC</t>
  </si>
  <si>
    <t>Adición y prórroga No. 1 al contrato No. 443 de 2025 que tiene como objeto " Prestar los servicios profesionales de la gestión administrativa, así como la adquisición de bienes y servicios de la Subdirección de Gestión Corporativa SGC</t>
  </si>
  <si>
    <t>Adición y prórroga No. 1 al contrato No. 361 de 2025 que tiene como objeto " Prestación de servicios de apoyo a la gestión documental de la Subdirección de Gestión Corporativa de la Unidad.-SGC</t>
  </si>
  <si>
    <t>Adición y prórroga No. 1 al contrato No. 354 de 2025 que tiene como objeto " Prestación de servicios de apoyo a la gestión documental de la Subdirección de Gestión Corporativa de la Unidad.-SGC</t>
  </si>
  <si>
    <t>Adición y prórroga No. 1 al contrato No. 331 de 2025 que tiene como objeto " Prestación de servicios de apoyo técnico en la gestión documental de la Subdirección de Gestión Corporativa de la Unidad-SGC</t>
  </si>
  <si>
    <t>Adición y prórroga No. 1 al contrato No. 105 de 2025 que tiene como objeto "Prestación de servicios de apoyo a la gestión en la ejecución de los planes y programas de servicio al ciudadano a cargo de la Subdirección de Gestión Corporativa.-SGC</t>
  </si>
  <si>
    <t>Adición y prórroga No. 1 al contrato No. 355 de 2025 que tiene como objeto " Prestación de servicios de apoyo a la gestión en la ejecución de los planes y programas de servicio al ciudadano a cargo de la Subdirección de Gestión Corporativa.-SGC</t>
  </si>
  <si>
    <t>Adición y prórroga No. 1 al contrato No. 353 de 2025 que tiene como objeto " Prestación de servicios de apoyo a la gestión en la ejecución de los planes y programas de servicio al ciudadano a cargo de la Subdirección de Gestión Corporativa.-SGC</t>
  </si>
  <si>
    <t>Adición y prórroga No. 1 al contrato No. 195 de 2025 que tiene como objeto " Prestación de servicios de apoyo a la gestión en la ejecución de los planes y programas de servicio al ciudadano a cargo de la Subdirección de Gestión Corporativa.-SGC</t>
  </si>
  <si>
    <t>Adición y prórroga No. 1 al contrato No. 254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</si>
  <si>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143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</si>
  <si>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259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</si>
  <si>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349 de 2025 que tiene como objeto " Prestar los servicios profesionales en el área de inventarios de la Subdirección de Gestión Corporativa-SGC</t>
  </si>
  <si>
    <t>Adición y prórroga No. 1 al contrato No. 442 de 2025 que tiene como objeto " Prestar los servicios profesionales para apoyar las actividades de trabajo social propias que contribuyan al desarrollo de la infraestructura requerida por la entidad para la adecuada prestación del servicio-SGC</t>
  </si>
  <si>
    <t>Adición y prórroga No. 1 al contrato No. 517 de 2025 que tiene como objeto " Prestar los servicios profesionales para el acompañamiento y el seguimiento de los comodatos y demás actividades relacionadas con los procesos y procedimientos de inventarios de la Subdirección de Gestión Corporativa-SGC</t>
  </si>
  <si>
    <t>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t>
  </si>
  <si>
    <t>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t>
  </si>
  <si>
    <t>Reconocimiento y pago Pasivo Exigible contrato de prestación servicios No 305 de 2023 suscrito con NORBERTO RICO GORDILLO , cuyo objeto es Prestar los servicios como conductor del área de infraestructura de la Subdirección de Gestión Corporativa-SGC</t>
  </si>
  <si>
    <t>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t>
  </si>
  <si>
    <t xml:space="preserve"> Adición y prórroga No. 1 al contrato 052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</si>
  <si>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271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</si>
  <si>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135 de 2025 que tiene como objeto "Prestar servicios profesionales para realizar acompañamiento jurídico en la elaboración de los procesos contractuales adelantados por la Subdirección Gestión Corporativa - SGC"</t>
  </si>
  <si>
    <t xml:space="preserve"> Adición y prórroga No. 1 al contrato 346 de 2025 que tiene como objeto "Prestar servicios profesionales para realizar acompañamiento en los procesos contractuales adelantados por la Subdirección Gestión Corporativa -SGC"</t>
  </si>
  <si>
    <t xml:space="preserve"> Adición y prórroga No. 1 al contrato 459 de 2025 que tiene como objeto "Prestar los servicios profesionales jurídicos para apoyar las actividades propias, en procesos prediales que contribuyan al desarrollo de la infraestructura requerida por la entidad para la adecuada prestación del servicio-SGC"</t>
  </si>
  <si>
    <t xml:space="preserve"> Adición y prórroga No. 1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</si>
  <si>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1 al contrato 377 de 2025 que tiene como objeto "Prestar servicios profesionales como ingeniero mecánico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</si>
  <si>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</si>
  <si>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de apoyo a la gestión a la Oficina de Control Disciplinario Interno de la UAECOB para el cumplimiento de las funciones de carácter administrativo.</t>
  </si>
  <si>
    <t>Renovación de equipos activos de red de la infraestructura tecnológica de la U.A.E. Cuerpo Oficial de Bomberos de Bogotá.</t>
  </si>
  <si>
    <t>Adquisición de elementos distintivos para reforzar los aprendizajes de los programas y campañas de la Subdirección de Gestión del Riesgo</t>
  </si>
  <si>
    <t>Contratar los  servicio de transporte para el desarrollo de las actividades, de los programas y campañas de prevención adelantados por  la Subdirección de Gestión del Riesgo.</t>
  </si>
  <si>
    <t>78111802
78111803</t>
  </si>
  <si>
    <t>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t>
  </si>
  <si>
    <t>Prestación de servicios profesionales para apoyar en el seguimiento administrativo, operativo, control y monitoreo a los vehículos del parque automotor, que se encuentren o sean objeto de mantenimiento a cargo de la subdirección logística"</t>
  </si>
  <si>
    <t>Adición y prorroga al contrato 178-2025 cuyo objeto es: "Prestar servicios de apoyo en la gestión documental, física y digital, administrando y diligenciando las bases de datos, y demás documentos a cargo de la Subdirección logística. -SBLG".</t>
  </si>
  <si>
    <t>Adición y prorroga al contrato 29-2025 cuyo objeto es:  "prestación de servicios profesionales para la gestión administrativa de las herramientas tecnológicas de la Subdirección Logística asociados a la mesa logística - SBLG"</t>
  </si>
  <si>
    <t>Adición y prorroga al contrato 60-2025 cuyo objeto es: "prestación de servicios profesionales para la gestión, seguimiento y control administrativo, técnico y operativo del proceso de mantenimiento del parque automotor a cargo de la Subdirección Logística - SBLG".</t>
  </si>
  <si>
    <t>Adición y prorroga al contrato 47-2025 cuyo objeto es: "Prestación de servicios profesionales para la gestión, seguimiento y control administrativo, técnico y operativo del equipo menor a cargo de la Subdirección Logística (SBLG)".</t>
  </si>
  <si>
    <t>Adición y prorroga al contrato 466-2025 cuyo objeto es: "Prestar servicios profesionales en las actividades administrativas y financieras que requieran los procesos de la Subdirección Logística- SBLG"</t>
  </si>
  <si>
    <t>Adición y prorroga al contrato 79-2025 cuyo objeto es: "Prestación de servicios profesionales para la gestión, seguimiento y control administrativo, técnico y operativo del proceso de mantenimiento del parque automotor a cargo de la Subdirección Logística - SBLG".</t>
  </si>
  <si>
    <t xml:space="preserve">Adición y prorroga al contrato 471-2025 cuyo objeto es: "Prestación de servicios profesionales para apoyar la gestión financiera y presupuestal de los proyectos y planes a cargo de la Subdirección Logística - SBLG". </t>
  </si>
  <si>
    <t>Adición y prorroga al contrato 104-2025 cuyo objeto es: "Prestar servicios profesionales en la gestión, seguimiento y control administrativo, financiero y contractual la línea de insumos y suministros, para la operación durante las emergencias, eventos y capacitaciones a cargo de la Subdirección Logística - SBLG".</t>
  </si>
  <si>
    <t>Adición y prorroga al contrato 255-2025 cuyo objeto es: "Prestación de servicios profesionales, para apoyar la política de Compras y Contratación Pública, en la elaboración, tramite e impulso de los procesos de contratación en sus diferentes etapas a cargo de la Subdirección Logística - SBLG".</t>
  </si>
  <si>
    <t>Adición y prorroga al contrato 64-2025 cuyo objeto es: "Prestación de servicios profesionales en la gestión, seguimiento y control administrativo, financiero y contractual del proceso de mantenimiento del parque automotor a cargo de la Subdirección Logística - SBLG".</t>
  </si>
  <si>
    <t>Adición y prorroga al contrato 286-2025 cuyo objeto es: "Prestar servicio de apoyo a la gestión para asistir a la Subdirección Logística en el seguimiento técnico y administrativo de los mantenimientos requeridos en la Subdirección Logística - SBLG"</t>
  </si>
  <si>
    <t>Adición y prorroga al contrato 296-2025 cuyo objeto es: "Prestar servicio de apoyo a la gestión para asistir a la Subdirección Logística en el seguimiento técnico y administrativo de los mantenimientos requeridos en la Subdirección Logística - SBLG"</t>
  </si>
  <si>
    <t>Adición y prorroga al contrato 160-2025 cuyo objeto es: "Prestar servicios profesionales para el seguimiento y control logístico en la cadena de suministros e insumos en la atención de emergencias garantizando la entrega de los bienes y servicios de la Subdirección Logística. SBLG"</t>
  </si>
  <si>
    <t>Adición y prorroga al contrato 230-2025 cuyo objeto es: "Prestar servicios profesionales en materia administrativa,optimizando los procesos de la dependencia a través de la gestión de herramientas tecnológicas y documentales con las que se cuenten a la Subdirección Logística – SBLG".</t>
  </si>
  <si>
    <t>Adición y prorroga al contrato 406-2025 cuyo objeto es: "Prestar servicios de apoyo a la gestión en las actividades de soporte operacional de la UAECOB Subdirección Logística. SBLG"</t>
  </si>
  <si>
    <t>Adición y prorroga al contrato 190-2025 cuyo objeto es: "Prestar servicios profesionales para la gestión del Plan Estratégico de Seguridad Vial (PESV), participación en el comité correspondiente y el desarrollo de programas y actividades asignadas a la Subdirección Logística SBLG".</t>
  </si>
  <si>
    <t>Adición y prorroga al contrato 347-2025 cuyo objeto es: "Prestación de servicios de apoyo a la gestión en el proceso de mantenimiento del equipo menor a cargo de la Subdirección Logística -SBLG".</t>
  </si>
  <si>
    <t>Adición y prorroga al contrato 213-2025 cuyo objeto es: "Prestar servicios profesionales en la formulación e implementación de estrategias de comunicación, capacitación y gestión administrativa que promueva el uso y apropiación de los programas desarrollados en cada una de las lineas de la Subdirección Logística - SBLG"</t>
  </si>
  <si>
    <t>Adición y prorroga al contrato 246-2025 cuyo objeto es: "Prestar servicios profesionales en la definición y gestión de procedimientos, lineamientos ambientales y de SST de los procesos, así como del sistema de Gestión de Calidad en la Subdirección Logística – SBGL"</t>
  </si>
  <si>
    <t>Adición y prorroga al contrato 386-2025 cuyo objeto es: "Prestar servicios de apoyo a la gestión en actividades Técnicas, administrativas y documentales de la Subdirección Logística - SBLG"</t>
  </si>
  <si>
    <t>Adición y prorroga al contrato 258-2025 cuyo objeto es: "Prestar servicios profesionales en temas transversales de los procesos de planeación, logísticos, administrativos y financieros que se deriven de las competencias a cargo de la Subdirección Logística - . - SBLG"</t>
  </si>
  <si>
    <t>Adición y prorroga al contrato 150-2025 cuyo objeto es: "Prestación de servicio como conductor para apoyar en la gestión administrativa y logística de la Subdirección Logistica- SBLG".</t>
  </si>
  <si>
    <t>Adición y prorroga al contrato 290-2025 cuyo objeto es: "Prestar servicios de apoyo a la gestión en actividades administrativas y documentales que se desarrollen en la Subdirección Logística – SBLG".</t>
  </si>
  <si>
    <t>Adición y prorroga al contrato 152-2025 cuyo objeto es: "Prestación de servicio como conductor para apoyar en la gestión administrativa y logística de la Subdirección Logistica- SBLG".</t>
  </si>
  <si>
    <t>Adición y prorroga al contrato 451-2025 cuyo objeto es: "Prestar servicios profesionales para el trámite, revisión y validación de los documentos previos para pago que se generen con ocasión de la ejecución de los contratos a cargo de la subdirección logística. - SBLG"</t>
  </si>
  <si>
    <t>Adición y prorroga al contrato 168-2025 cuyo objeto es: "Prestar servicios de apoyo a la gestión de los suministros y consumibles realizando el seguimiento, control y trámites necesarios para la oportuna disponibilidad en la atención de emergencias -SBLG".</t>
  </si>
  <si>
    <t>Adición y prorroga al contrato 334-2025 cuyo objeto es: "Prestar servicios de apoyo en la gestión administrativa y documental de los procesos contractuales relacionados con el mantenimiento del parque automotor a cargo de la Subdirección Logística -SBLG".</t>
  </si>
  <si>
    <t>31261500; 31161500; 31161600; 31162300; 31162800; 31171500; 31171700; 39121600; 27121600;72101509; 26101700: 26101900; 15121500; 72101517; 72151511; 72154105 72154302; 73152108; 73152112</t>
  </si>
  <si>
    <t>Adición y prórroga al Contrato 329 de 2025 con objeto "Prestar servicios profesionales jurídicos en la Dirección General de la UAECOB en la revisión, gestión y seguimiento de temas de infraestructura, POT, plan maestro de equipamiento y procesos contractuales y estratégicos de la misionalidad de la Entidad"</t>
  </si>
  <si>
    <t>Adición y prórroga al Contrato 116 de 2025 con objeto "Prestar servicios profesionales especializados en la Dirección General de la UAECOB en la organización y liderazgo de los asuntos relacionados con cooperación técnica internacional y articulación interinstitucional de conformidad a la misionalidad de la entidad"</t>
  </si>
  <si>
    <t>Adición y prórroga al Contrato 134 de 2025 con objeto "Prestar servicios profesionales en la Dirección General para apoyar las actividades de cooperación técnica Internacional, seguimientos estrategicos y articulación interinstitucional de conformidad a la misionalidad de la entidad"</t>
  </si>
  <si>
    <t>Adición y prórroga al Contrato 417 de 2025 con objeto "Prestación de servicios profesionales en asuntos de comunicaciones y prensa para revisar los procesos de comunicación de entidad con el fin de evaluar su eficacia interna y externa y detectar ineficiencias en los canales de comunicación"</t>
  </si>
  <si>
    <t>Adición y prórroga al Contrato 172 de 2025 con objeto "Prestar servicios profesionales en la Dirección General para gestionar las  actividades de cooperación técnica internacional y articulación interinstitucional encaminadas a fortalecer e impulsar las metas de la Entidad"</t>
  </si>
  <si>
    <t>Adición y prórroga al Contrato 440 de 2025 con objeto "Prestación de servicios profesionales en asuntos de comunicaciones y prensa para detectar las necesidades de la Entidad y facilitar la inserción de nuevas estrategias de comunicación"</t>
  </si>
  <si>
    <t>Adición y prórroga al Contrato 437 de 2025 con objeto "Prestación de servicios profesionales en asuntos de comunicaciones y prensa para apoyar las labores periodísticas y de divulgación de información, de acuerdo con la misionalidad de la UAECOB"</t>
  </si>
  <si>
    <t>Adición y prórroga al Contrato 434 de 2025 con objeto "Prestación de servicios profesionales en asuntos de comunicaciones y prensa para apoyar las labores de reportería, periodismo y de divulgación de información y campañas, de acuerdo con la misionalidad de la UAECOB"</t>
  </si>
  <si>
    <t>Adición y prórroga al Contrato 024 de 2025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</si>
  <si>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al Contrato 025 de 2025 con objeto "Prestación de servicios profesionales en asuntos de comunicaciones y prensa para apoyar la divulgación y socialización de la información relacionada con la misionalidad de la UAECOB de manera interna y externa"</t>
  </si>
  <si>
    <t>Adición y prórroga al Contrato 042 de 2025 con objeto "Prestar servicios de apoyo a la gestión en la UAECOB, en asuntos administrativos y asistenciales requeridos, especificamente en el seguimiento de la información"</t>
  </si>
  <si>
    <t>80111600</t>
  </si>
  <si>
    <t>0</t>
  </si>
  <si>
    <t>15</t>
  </si>
  <si>
    <t>Adición y prórroga al Contrato 068 de 2025 con objeto "Prestar servicios profesionales especializados en la Dirección General de la UAECOB en la organización y liderazgo de los asuntos relacionados con comunicaciones de conformidad a la misionalidad de la entidad"</t>
  </si>
  <si>
    <t>Prestar servicios profesionales jurídicos en la Dirección General de la UAECOB en la revisión, gestión y seguimiento de temas a cargo de la dirección, contratación y estratégicos de la misionalidad de la Entidad</t>
  </si>
  <si>
    <t>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t>
  </si>
  <si>
    <t>Prestación de servicios de apoyo a la gestión como conductor para atender los requerimientos que se presenten en la Oficina Asesora de Planeación, así como los incidentes que puedan surgir en la Unidad Administrativa Especial Cuerpo Oficial de Bomberos de Bogotá.</t>
  </si>
  <si>
    <t>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t>
  </si>
  <si>
    <t>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t>
  </si>
  <si>
    <t>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t>
  </si>
  <si>
    <t>Adición y prórroga al contrato 226-2025 cuyo objeto es: " SGH - Prestar servicios profesionales para desarrollar actividades jurídicas relacionadas con la academia bomberil, recobro de incapacidades y procesos administrativos de la Subdirección de Gestión Humana."</t>
  </si>
  <si>
    <t>Adición y prórroga al contrato 317-2025 cuyo objeto es: " SGH - Prestar servicios de apoyo en el sistema de gestión de seguridad y salud en el trabajo en la Subdirección de Gestión Humana de la UAE Cuerpo Oficial de Bomberos."</t>
  </si>
  <si>
    <t>Adición y prórroga al contrato 020-2025 cuyo objeto es: " SGH - Prestar sus servicios profesionales en la Subdirección de Gestión Humana en temas de desarrollo organizacional."</t>
  </si>
  <si>
    <t>Adición y prórroga al contrato 059-2025 cuyo objeto es: " SGH - Prestar servicios profesionales en la Subdirección de Gestión Humana de la UAE Cuerpo Oficial de Bomberos en temas de liquidación de demandas y conciliaciones."</t>
  </si>
  <si>
    <t>Adición y prórroga al contrato 394-2025 cuyo objeto es: " SGH - Prestar servicios profesionales para apoyar el programa de vigilancia epidemiológico al riesgo psicosocial y actividades de seguridad y salud en el trabajo en la Subdirección de Gestión Humana."</t>
  </si>
  <si>
    <t>Adición y prórroga al contrato 240-2025 cuyo objeto es: "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</si>
  <si>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404-2025 cuyo objeto es: " SGH - Prestar Servicios de apoyo  a los procesos de archivo en  Subdirección de Gestión Humana de la UAE Cuerpo Oficial de Bomberos de Bogotá D.C. "</t>
  </si>
  <si>
    <t>Adición y prórroga al contrato 075-2025 cuyo objeto es: " SGH - Prestar sus servicios profesionales en el proceso de liquidación de demandas y conciliaciones administrativas para la Subdirección de Gestión Humana de la UAE Cuerpo Oficial de Bomberos."</t>
  </si>
  <si>
    <t>Adición y prórroga al contrato 090-2025 cuyo objeto es: " SGH - Prestar servicios profesionales en la Subdirección de Gestión Humana de la UAE Cuerpo Oficial de Bomberos en temas de liquidación de demandas y conciliaciones."</t>
  </si>
  <si>
    <t>Adición y prórroga al contrato 046-2025 cuyo objeto es: " SGH - Prestar sus servicios profesionales en comunicación interna y externa para la Subdirección de Gestión Humana de la UAE Cuerpo Oficial de Bomberos de Bogotá"</t>
  </si>
  <si>
    <t>Adición y prórroga al contrato 083-2025 cuyo objeto es: " SGH - Prestar servicios de apoyo a la gestión en cumplimiento de los planes institucionales de la Subdirección de Gestión Humana específicamente para desarrollo organizacional."</t>
  </si>
  <si>
    <t>Adición y prórroga al contrato 130-2025 cuyo objeto es: " SGH-  Prestar servicios profesionales en la Subdirección de Gestión Humana de la UAE Cuerpo Oficial de Bomberos de Bogotá en las áreas de calidad de vida y desarrollo organizacional"</t>
  </si>
  <si>
    <t>Adición y prórroga al contrato 092-2025 cuyo objeto es: " SGH - Prestar servicios profesionales en la Subdirección de Gestión Humana de la UAE Cuerpo Oficial de Bomberos en temas de Administración de Personal."</t>
  </si>
  <si>
    <t>Adición y prórroga al contrato 205-2025 cuyo objeto es: " SGH - Prestar servicios profesionales en la Subdirección de Gestión Humana en la estrategia de fortalecimiento institucional, realizando documentos de necesidades de diagnóstico organizacional de la Unidad Administrativa Especial Cuerpo Oficial de Bomberos de Bogotá."</t>
  </si>
  <si>
    <t xml:space="preserve">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t>
  </si>
  <si>
    <t>Adición y prórroga al contrato 095-2025 cuyo objeto es: "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</si>
  <si>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Adición y prórroga al contrato 316-2025 cuyo objeto es: " SGH- Prestar servicios profesionales en la Subdirección de Gestión Humana de la UAE Cuerpo Oficial de Bomberos Bogotá D.C. en lo relacionado con la consolidación y análisis de base de datos y constitución del presupuesto"</t>
  </si>
  <si>
    <t>Adición y prórroga al contrato 435-2025 cuyo objeto es: " SGH - Prestar servicios profesionales para apoyar el programa de vigilancia epidemiológico al riesgo psicosocial y actividades de seguridad y salud en el trabajo en la Subdirección de Gestión Humana"</t>
  </si>
  <si>
    <t>Adición y prórroga al contrato 428-2025 cuyo objeto es: " SGH - Prestar servicios profesionales para apoyar el programa de vigilancia epidemiológico al riesgo psicosocial y actividades de seguridad y salud en el trabajo en la Subdirección de Gestión Humana"</t>
  </si>
  <si>
    <t>Adición y prórroga al contrato 200-2025 cuyo objeto es: " SGH - Prestar servicios de apoyo a la gestión en la Subdirección de Gestión Humana en las diferentes actividades logísticas relacionadas con  el proceso de Academia."</t>
  </si>
  <si>
    <t>Adición y prórroga al contrato 321-2025 cuyo objeto es: " SGH prestar servicios profesionales para acompañar a la Subdirección de Gestión Humana en el desarrollo de las actividades relacionadas con el seguimiento a la ejecución presupuestal en el marco de los procesos, procedimientos y contratos a cargo de la dependencia"</t>
  </si>
  <si>
    <t>Adición y prórroga al contrato 514-2025 cuyo objeto es: "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</si>
  <si>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al contrato 420-2025 cuyo objeto es: " SGH - Prestar servicios profesionales en el desarrollo de actividades relacionadas con la actualizacion de registro laborales del personal de la entidad, asi como apoyar en las actividades a cargo de desarrollo organizacional de la subdireccion de gestion humana."</t>
  </si>
  <si>
    <t>Adición y prórroga al contrato 453-2025 cuyo objeto es: " SGH - Prestar servicios profesionales para apoyar el programa de riesgo psicosocial y diferentes  actividades de seguridad y salud en el trabajo en la Subdirección de Gestión Humana"</t>
  </si>
  <si>
    <t>Adición y prórroga al contrato 523-2025 cuyo objeto es: "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</si>
  <si>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al contrato 180-2025 cuyo objeto es: " SGH - Prestar servicios profesionales en la Subdireccion de Gestion Humana de la UAE Cuerpo Oficial de Bomberos en el proceso de ausentismo, recobro de incapacidades y los subprocesos directamente relacionados "</t>
  </si>
  <si>
    <t>Adición y prórroga al contrato 147-2025 cuyo objeto es: " SGH - Prestar servicios profesionales para apoyar el programa de desórdenes musculoesqueléticos de la UAE Cuerpo Oficial de Bomberos de Bogotá"."</t>
  </si>
  <si>
    <t>Adición y prórroga al contrato 136-2025 cuyo objeto es: " SGH - Prestar servicios profesionales para la implementación y seguimiento del sistema de gestión de seguridad y salud en el trabajo en la Subdirección de Gestión Humana."</t>
  </si>
  <si>
    <t>Adición y prórroga al contrato 139-2025 cuyo objeto es: "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</si>
  <si>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Adición y prórroga al contrato 186-2025 cuyo objeto es: "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</si>
  <si>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203-2025 cuyo objeto es: " 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</si>
  <si>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Adición y prórroga al contrato 129-2025 cuyo objeto es: "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</si>
  <si>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Adición y prórroga al contrato 397-2025 cuyo objeto es: " SGH-Prestar servicios profesionales para acompañar a la subdirección de gestión humana en el desarrollo de las actividades realizadas en el marco de la actuación del comité de mujer y género"</t>
  </si>
  <si>
    <t>Adición y prórroga al contrato 235-2025 cuyo objeto es: " SGH - Prestar servicios profesionales para acompañar a la Subdireccion de Gestion Humana en la planeacion, trámite y seguimiento de los aspectos presupuestales, financieros y contractuales a cargo de la dependencia"</t>
  </si>
  <si>
    <t>Adición y prórroga al contrato 208-2025 cuyo objeto es: "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</si>
  <si>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1-200-I079  RB-Sobretasa Bomberil</t>
  </si>
  <si>
    <t>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</si>
  <si>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</si>
  <si>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</si>
  <si>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Adquirir la plataforma de geolocalización ArcGIS para el fortalecimiento de los objetivos misionales de la U.A.E Cuerpo Oficial de bomberos</t>
  </si>
  <si>
    <t>46182001
46182004
46182201</t>
  </si>
  <si>
    <t>Prestar servicios profesionales especializados como ingeniero electrónico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</si>
  <si>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</si>
  <si>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profesionales especializados en el acompañamiento y asistencia al proceso de gestión documental de la UAE Cuerpo oficial de Bomberos. -SGC</t>
  </si>
  <si>
    <t>Adición No. 3 y Prórroga No. 4 del Contrato 357 de 2024 cuyo objeto es "Realizar el mantenimiento predictivo, preventivo, correctivo, mejoras y dotación a las instalaciones de las dependencias de la Unidad Administrativa Especial Cuerpo Oficial de Bomberos de Bogotá D.C. - SGC</t>
  </si>
  <si>
    <t>72102900;
72121400; 
72151700;
72154000;
72101500</t>
  </si>
  <si>
    <t>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</si>
  <si>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80101600; 
81101500; 
72101500; 
72121400</t>
  </si>
  <si>
    <t xml:space="preserve"> -   </t>
  </si>
  <si>
    <t>Mantenimiento preventivo y/o correctivo,  y suministros de repuestos para los equipos de gimnasio de las diferentes instalaciones a cargo de la UAE Cuerpo Oficial de Bomberos. -SGC</t>
  </si>
  <si>
    <t>Adquisición de mobiliario y elementos para la dotación de las instalaciones de la UAE Cuerpo Oficial de Bomberos Bogotá- SGC</t>
  </si>
  <si>
    <t>53102710; 10131600; 10141600;
10191700; 20102000; 21102400;
23101500; 39111600; 41102500;
41111500; 42121600; 42143600;
42172000; 46181500; 46182000;
46191500;</t>
  </si>
  <si>
    <t>Adición y prórroga al contrato 549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</si>
  <si>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531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</si>
  <si>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y prórroga al contrato 556 de 2025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</si>
  <si>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581 de 2025 cuyo objeto es: "Prestar los servicios de apoyo para las gestiones administrativas requeridas en la Oficina Jurídica".</t>
  </si>
  <si>
    <t>Adición y prórroga al contrato 575 de 2025 cuyo objeto es: "Prestar los servicios de apoyo para las gestiones documentales y administrativas requerida por la Oficina  Jurídica".</t>
  </si>
  <si>
    <t>Adición y prórroga al contrato 558 de 2025 cuyo objeto es: "Prestar los servicios de apoyo para las gestiones documentales y administrativas requerida por la Oficina  Jurídica".</t>
  </si>
  <si>
    <t>Adición y prórroga al contrato 569 de 2025 cuyo objeto es: "Prestar los servicios profesionales para apoyar la depuración de la cartera de cobro coactivo, así como actividades propias de la defensa judicial de la Entidad y demas actiuaciones relacionadas que requiera la Oficina Jurídica"</t>
  </si>
  <si>
    <t>Adición y prórroga al contrato 576 de 2025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</si>
  <si>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571 de 2025 cuyo objeto es: "Prestar los servicios profesionales jurídicos especializados para orientar y apoyar los procesos de contratación en sus diferentes etapas adelantados por la Oficina Jurídica, tendientes a garantizar las necesidades propias de la UAECOB"</t>
  </si>
  <si>
    <t>Adición y prórroga al contrato 585 de 2025 cuyo objeto es: "Prestar los servicios profesionales jurídicos especializados en la Oficina Jurídica que garantice la verificación de la legalidad, en apoyo a cada una de las actuaciones a cargo de esta Oficina".</t>
  </si>
  <si>
    <t>Adición y prórroga al contrato 545 de 2025 cuyo objeto es: "Prestar los servicios profesionales jurídicos para apoyar las actuaciones procesales y procedimentales de la Oficina Jurídica"</t>
  </si>
  <si>
    <t>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</si>
  <si>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</si>
  <si>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Adición y prórroga al contrato 039 de 2025 "Prestar los servicios profesionales  como abogado en la Oficina de Control Interno para el desarrollo del Plan Anual de Auditorías."</t>
  </si>
  <si>
    <t>Adición y prórroga al contrato 123 de 2025 "Prestar los servicios profesionales como contador publico en la Oficina de Control Interno para el desarrollo del Plan Anual de Auditorías."</t>
  </si>
  <si>
    <t>Adición y prórroga al contrato 128 de 2025 "Prestar los servicios profesionales  en la Oficina de Control Interno para el desarrollo del Plan Anual de Auditorías."</t>
  </si>
  <si>
    <t>Adición y prórroga al contrato 077 de 2025 "Prestar servicios de apoyo a la gestión como técnico   en la Oficina de Control Interno para ejecutar procesos y procedimientos administrativos y asistenciales teniendo en cuenta el Plan Anual de Auditorías."</t>
  </si>
  <si>
    <t>Adición y prórroga al contrato 272 de 2025 "Prestar los servicios profesionales  en la Oficina de Control Interno para el desarrollo del Plan Anual de Auditorías."</t>
  </si>
  <si>
    <t>Adición y prórroga al contrato 533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</si>
  <si>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536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</si>
  <si>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525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</si>
  <si>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216-2025 cuyo objeto es: " SGH - Prestar servicios profesionales en la Subdirección de Gestión Humana, para el fortalecimiento transversal del proceso de Academia."</t>
  </si>
  <si>
    <t>Adición y prórroga al contrato 319-2025 cuyo objeto es: " SGH - Prestar sus servicios profesionales en los procesos de la Subdirección de Gestión Humana de la UAE Cuerpo Oficial de Bomberos."</t>
  </si>
  <si>
    <t>Contratar el mantenimiento y recarga de los extintores y otros elementos pertinentes para la U.A.E. Cuerpo Oficial de Bomberos de Bogotá. - SBLG</t>
  </si>
  <si>
    <t>72101509, 46191600, 46191506, 46191601</t>
  </si>
  <si>
    <t xml:space="preserve">Adición y prorroga al contrato 218-2025 cuyo objeto es : "Prestar servicios profesionales para apoyar en los diferentes procesos de planeación,  administrativos e inventario de la Subdirección Logística – SBLG". </t>
  </si>
  <si>
    <t>Adición y prorroga al contrato 555-2025 cuyo objeto es: "Suministrar combustible para los vehículos, y equipos especializados de la U.A.E. Cuerpo Oficial de Bomberos Bogotá dentro y fuera del perímetro del distrito capital de la  - SBLG".</t>
  </si>
  <si>
    <t>53101801
53101803
53101501
53101503</t>
  </si>
  <si>
    <t xml:space="preserve">56101900
60131500
50101904   
31132100  
31132300 </t>
  </si>
  <si>
    <t>Adición y prórroga No. 1 al contrato 597 de 2025  que tiene como objeto " Contratar la prestación del servicio de aseo y cafetería incluido insumos para la UAE Cuerpo Oficial de Bomberos -SGC"</t>
  </si>
  <si>
    <t>44121700;
44121800;
44121900;
44122000</t>
  </si>
  <si>
    <t xml:space="preserve">Prestar el servicio y mantenimiento de equipos de higienización, desodorización y aromatización para la UAECOB </t>
  </si>
  <si>
    <t>24131500;
52141500;
52151600;
 52152000;
52152300; 
52161500;</t>
  </si>
  <si>
    <t xml:space="preserve">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t>
  </si>
  <si>
    <t>72154000;
55121900;
60121400;
52101500;
55121700;</t>
  </si>
  <si>
    <t>Adquisición de elementos de menaje para la UAECOB-SGC</t>
  </si>
  <si>
    <t>Adquisición de herramientas de corte para la atención de emergencias  para  la UAE Cuerpo Oficial de Bomberos de Bogota -S.O.</t>
  </si>
  <si>
    <t>23101512;
27111508;
27112709</t>
  </si>
  <si>
    <t>Actualización del sistema de la red contraincendios y sistemas de detención de alarmas contra incendios de las estaciones de bomberos de la UAE- Cuerpo Oficial de Bomberos Bogotá SGC</t>
  </si>
  <si>
    <t>72151800;
72151500;
73152100;</t>
  </si>
  <si>
    <t>Elaboración de estudios y diseños técnicos para la adecuación de la nueva estación de bomberos de la UAE Cuerpo Oficial de Bomberos de Bogotá – SGC</t>
  </si>
  <si>
    <t>Interventoría técnica, administrativa, financiera, contable, jurídica y ambiental para la elaboración de estudios y diseños técnicos para la adecuación de la nueva estación de bomberos de la UAE Cuerpo Oficial de Bomberos de Bogotá – SGC</t>
  </si>
  <si>
    <t>Adquisición de lavadoras industriales para las instalaciones de la UAE Cuerpo Oficial de Bomberos de Bogotá-SGC</t>
  </si>
  <si>
    <t>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</si>
  <si>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Adicion y prorroga CTO   479- 2025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</si>
  <si>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el servicio de apoyo técnico y operativo a la gestión de los procesos disciplinarios en la etapa de juzgamiento, mediante la ejecución de tareas administrativas, logísticas y de soporte documental en la Oficina Jurídica</t>
  </si>
  <si>
    <t>Adición y prórroga Cto. 54 de 2025 cuyo objeto es: "Prestar los servicios profesionales jurídicos para apoyar las actividades propias de la gestión contractual que adelanta la UAE Cuerpo Oficial de Bomberos"</t>
  </si>
  <si>
    <t>Adición y prórroga Cto. 197 de 2025 cuyo objeto es: "Prestar los servicios profesionales en la administración, actualización, desarrollo y mantenimiento del Sistema Integrado de Administración de Personal - SIAP para la U.A.E. Cuerpo Oficial de Bomberos Bogotá".</t>
  </si>
  <si>
    <t>Adición y prórroga Cto. 339 de 2025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</si>
  <si>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Adición y prórroga al contrato 782  de 2024 cuyo objeto es: "Contratar el suministro de solucion para  protección y prevención de amenazas a puntos finales y servidores de la U.A.E. Cuerpo Oficial de Bomberos de Bogotá - TIC"</t>
  </si>
  <si>
    <t>43222500, 43233200, 81111800, 81112200</t>
  </si>
  <si>
    <t>Adición y prórroga al contrato 815 de 2024 cuyo objeto es: "Contratar el servicio de soporte y mantenimiento del sistema de control de acceso para los visitantes y los funcionarios de la U.A.E. Cuerpo Oficial Bomberos de Bogotá"</t>
  </si>
  <si>
    <t xml:space="preserve">46171619, 81111805 ,81112208 </t>
  </si>
  <si>
    <t>81112217, 43231512, 43232700, 
43231500</t>
  </si>
  <si>
    <t>Actualización de las transferencias, repuestos y redes de la infraestructura de las Plantas Eléctricas de las edificaciones de la Unidad Administrativa Especial del Cuerpo Oficial de Bomberos Bogotá D.C -SGC</t>
  </si>
  <si>
    <t>Adquisición de aparatos de respiración autónoma (SCBA) para la atención de emergencias</t>
  </si>
  <si>
    <t>Adición y prórroga al contrato 034 de 2025 cuyo objeto es: "Prestar los servicios profesionales especializados para la representación judicial  de la Entidad y la prevención del daño antijurídico".</t>
  </si>
  <si>
    <t>Adicion y prorroga CTO 632-2025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(LOTES 1,2 Y 3)</t>
  </si>
  <si>
    <t>Adicion y prorroga CTO 633-2025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 4)</t>
  </si>
  <si>
    <t>Prestar el servicio de instalación, alineación, balanceo y conexos, incluyendo el suministro de llantas a los vehículos del parque automotor de la U.A.E. Cuerpo Oficial de Bomberos de Bogotá - SBLG.</t>
  </si>
  <si>
    <t>Prestar los servicios profesionales para la gestión financiera de los procesos de contratación de la Subdirección Logística</t>
  </si>
  <si>
    <t>Adición y prórroga al contrato 548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</si>
  <si>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Brindar apoyo en temas propios de gestión documental de expedientes físicos y de soporte administrativo que se requieran en las actividades desplegadas por la Oficina Jurídica</t>
  </si>
  <si>
    <t>Adición y modificación al contrato 593-2025 cuyo objeto es "SGH - Prestar los servicios de capacitación, formación y entrenamiento en cursos especializados  para el personal operativo de la UAE Cuerpo Oficial de Bomberos  de Bogotá en el marco del PIC"</t>
  </si>
  <si>
    <t xml:space="preserve">SGH - Prestar los servicios de capacitación y formación  para el curso instructor de fuego I - Proboard para el personal operativo de la Unidad Administrativa Especial Cuerpo Oficial de Bomberos. </t>
  </si>
  <si>
    <t>Adición y prórroga al contrato 565-2025 cuyo objeto es: "SGH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</si>
  <si>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Adición y prórroga al contrato 590 de 2025 cuyo objeto es: "Prestar los servicios profesionales jurídicos para apoyar las actividades propias de la gestión contractual que adelanta la Oficina Jurídica"</t>
  </si>
  <si>
    <t>ADICIÓN Y PRÓRROGA al contrato de prestación de servicios # 413-2025, cuyo objeto es: "Prestación de servicios de apoyo a la gestión en las actividades documentales, administrativas y manejo de las herramientas de gestión que demanda la Subdirección Operativa S.O."</t>
  </si>
  <si>
    <t xml:space="preserve">ADICIÓN Y PRÓRROGA al contrato de prestación de servicios # 222-2025, cuyo objeto es:"prestación de servicios profesionales para la consolidación, seguimiento y reporte de las actividades del plan de mejoramiento, normograma y mapa de riesgos relacionados con los procesos y procedimientos misionales de la dependencia. S.O." </t>
  </si>
  <si>
    <t>Prestación de servicios de apoyo al proceso de comunicaciones en emergencias del centro de coordinación y comunicaciones (c.c.c.), para el desarrollo de los programas a cargo de la Subdirección Operativa-S.O.</t>
  </si>
  <si>
    <t>Prestar servicios profesionales para apoyar jurídicamente el seguimiento y la revisión de derechos de petición y requerimientos que efectúen los entes de control, así como en la revisión de documentación referida a procesos de contratación de la dependencia para el desarrollo de los programas a cargo de la Subdirección Operativa-S.O.</t>
  </si>
  <si>
    <t>Adicion al contrato 610-2025 cuyo objeto es: "Suministro de alimentación e hidratación para el cuerpo operativo en la atención de emergencias, entrenamientos, capacitaciones y actividades de prevención.-SBLG" </t>
  </si>
  <si>
    <t>Adición y prórroga Cto. 534  de 2025 cuyo objeto es: 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</si>
  <si>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Adición y prórroga Cto. 552 de 2025  cuyo objeto es: 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</si>
  <si>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 Reconocimiento pasivo exigible contrato de prestación servicios No 137 de 2019 suscrito con YECENIA CADENA SERRANO,  Reconoce $359.147  </t>
  </si>
  <si>
    <t xml:space="preserve"> Reconocimiento pasivo exigible contrato de prestación servicios No 321 de 2022 suscrito con YECENIA CADENA SERRANO,  Reconoce $359.147  </t>
  </si>
  <si>
    <t>Prestar los servicios profesionales para el acompañamiento y seguimiento de los planes y proyectos del área de inventarios de la Subdirección de Gestión Corporativa-SGC</t>
  </si>
  <si>
    <t>Adición y prórroga No. 1 al contrato 597 de 2025  que tiene como objeto " Contratar la prestación del servicio de aseo y cafetería incluido insumos para la UAE Cuerpo Oficial de Bomberos -SGC</t>
  </si>
  <si>
    <t>Adición y prórroga No. 1 al contrato 526 de 2025  que tiene como objeto "  Suministro de insumos para lavandería-SGC</t>
  </si>
  <si>
    <t>Adición  No. 1 al contrato 330 de 2025  que tiene como objeto "Prestar el servicio de recolección y disposición final de los residuos sanitarios y aguas no tratadas de las instalaciones de la Unidad Administrativa Especial Cuerpo Oficial de Bomberos Bogotá -SGC</t>
  </si>
  <si>
    <t xml:space="preserve"> Reconocimiento y pago pasivo exigible contrato  No 409 de 2021 suscrito con PROCESOS Y SERVICIOS S.A.S , para Prestar los servicios de Custodia, Consulta y Traslado Documental de Acuerdo a las especificaciones Técnicas y requisitos contemplados en la normatividad Archivística Vigente-SGC. Reconoce el valor de $2.499.990.</t>
  </si>
  <si>
    <t xml:space="preserve"> Reconocimiento y pago pasivo exigible contrato No 245 de 2019 suscrito con POOL SECURITY SOLUTION SAS , prestar los servicios de mantenimiento de la piscina construida en la estación de bomberos de kennedy  alejandro lince  b5, como escenario para el acondicionamiento físico y entrenamiento del personal delcuerpo oficial de bomberos de bogotá para el cumplimiento de su misionalidad Reconoce el valor de $ 4.255.729. </t>
  </si>
  <si>
    <t>Adición No. 1 al contrato 421 de 2025  que tiene como objeto " Contratar el servicio de saneamiento ambiental, corte de césped, jardinería, poda y tala de árboles para las sedes (predios y/o estaciones) de la UAECOB-SGC</t>
  </si>
  <si>
    <t>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</si>
  <si>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ADICIÓN Y PRÓRROGA AL CPS 117-2025 cuyo objeto es: prestación de servicios profesionales para realizar el diligenciamiento y seguimiento de las solicitudes en las herramientas de gestión de los procedimientos a cargo de la subdirección operativa -s.o.</t>
  </si>
  <si>
    <t>Adición y prórroga No. 2 al contrato No. 174 de 2025 que tiene como objeto "Prestación de servicios profesionales en la Subdirección de Gestión Corporativa en las actividades relacionadas con MIPG-SGC</t>
  </si>
  <si>
    <t xml:space="preserve"> Adición y prórroga No. 2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</si>
  <si>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2 al contrato 377 de 2025 que tiene como objeto "Prestar servicios profesionales como ingeniero mecánico para apoyar las actividades propias que contribuyan al desarrollo de la infraestructura requerida por la entidad para la adecuada prestación del servicio-SGC"</t>
  </si>
  <si>
    <t xml:space="preserve"> Adición y prórroga No. 2 al contrato 346 de 2025 que tiene como objeto "Prestar servicios profesionales para realizar acompañamiento en los procesos contractuales adelantados por la Subdirección Gestión Corporativa -SGC"</t>
  </si>
  <si>
    <t>Adicion al contrato 622-2025 cuyo objeto es: ¨Prestación del servicio de mantenimiento preventivo y correctivo de los equipos de respiración autónoma interspiro propiedad de la UAECOB, incluido el suministro de repuestos, insumos y mano de obra especializada  - SBLG¨</t>
  </si>
  <si>
    <t>(Varios elementos)</t>
  </si>
  <si>
    <t>(Todas)</t>
  </si>
  <si>
    <t>Versión No. 21 - PLAN DISTRITAL DE DESARROLLO "BOGOTÁ CAMINA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</si>
</sst>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33"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46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0" fontId="0" fillId="0" borderId="0" xfId="0" pivotButton="1"/>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43" fontId="14" fillId="0" borderId="3"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0" fontId="24" fillId="0" borderId="7" xfId="2" applyNumberFormat="1" applyFont="1" applyFill="1" applyBorder="1" applyAlignment="1" applyProtection="1">
      <alignment horizontal="center" vertical="center" wrapText="1"/>
      <protection locked="0"/>
    </xf>
    <xf numFmtId="1" fontId="24" fillId="0" borderId="1" xfId="4" applyNumberFormat="1" applyFont="1" applyFill="1" applyBorder="1" applyAlignment="1" applyProtection="1">
      <alignment horizontal="center" vertical="center" wrapText="1"/>
      <protection locked="0"/>
    </xf>
    <xf numFmtId="1" fontId="24" fillId="0" borderId="1" xfId="2" applyNumberFormat="1" applyFont="1" applyFill="1" applyBorder="1" applyAlignment="1" applyProtection="1">
      <alignment horizontal="center" vertical="center"/>
      <protection locked="0"/>
    </xf>
    <xf numFmtId="43" fontId="24" fillId="0" borderId="1" xfId="2" applyFont="1" applyFill="1" applyBorder="1" applyAlignment="1" applyProtection="1">
      <alignment horizontal="center" vertical="center" wrapText="1"/>
      <protection locked="0"/>
    </xf>
    <xf numFmtId="165" fontId="24" fillId="0" borderId="1" xfId="2" applyNumberFormat="1" applyFont="1" applyFill="1" applyBorder="1" applyAlignment="1" applyProtection="1">
      <alignment horizontal="center" vertical="center" wrapText="1"/>
      <protection locked="0"/>
    </xf>
    <xf numFmtId="0" fontId="24" fillId="0" borderId="1" xfId="2" applyNumberFormat="1" applyFont="1" applyFill="1" applyBorder="1" applyAlignment="1" applyProtection="1">
      <alignment horizontal="center" vertical="center" wrapText="1"/>
      <protection locked="0"/>
    </xf>
    <xf numFmtId="0" fontId="24" fillId="0" borderId="10" xfId="2" applyNumberFormat="1" applyFont="1" applyFill="1" applyBorder="1" applyAlignment="1" applyProtection="1">
      <alignment horizontal="center" vertical="center" wrapText="1"/>
      <protection locked="0"/>
    </xf>
    <xf numFmtId="0" fontId="23" fillId="0" borderId="3" xfId="2" applyNumberFormat="1" applyFont="1" applyFill="1" applyBorder="1" applyAlignment="1" applyProtection="1">
      <alignment horizontal="center" vertical="center" wrapText="1"/>
      <protection locked="0"/>
    </xf>
    <xf numFmtId="1" fontId="24" fillId="0" borderId="3" xfId="4" applyNumberFormat="1" applyFont="1" applyFill="1" applyBorder="1" applyAlignment="1" applyProtection="1">
      <alignment horizontal="center" vertical="center" wrapText="1"/>
      <protection locked="0"/>
    </xf>
    <xf numFmtId="1" fontId="20" fillId="0" borderId="3"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1" fontId="24" fillId="0" borderId="3" xfId="2" applyNumberFormat="1" applyFont="1" applyFill="1" applyBorder="1" applyAlignment="1" applyProtection="1">
      <alignment horizontal="center" vertical="center"/>
      <protection locked="0"/>
    </xf>
    <xf numFmtId="1" fontId="20" fillId="0" borderId="3" xfId="2" applyNumberFormat="1" applyFont="1" applyFill="1" applyBorder="1" applyAlignment="1" applyProtection="1">
      <alignment horizontal="center" vertical="center"/>
      <protection locked="0"/>
    </xf>
    <xf numFmtId="43" fontId="24" fillId="0" borderId="3" xfId="2" applyFont="1" applyFill="1" applyBorder="1" applyAlignment="1" applyProtection="1">
      <alignment horizontal="center" vertical="center" wrapText="1"/>
      <protection locked="0"/>
    </xf>
    <xf numFmtId="43" fontId="20" fillId="0" borderId="3" xfId="2" applyFont="1" applyFill="1" applyBorder="1" applyAlignment="1" applyProtection="1">
      <alignment horizontal="center" vertical="center" wrapText="1"/>
      <protection locked="0"/>
    </xf>
    <xf numFmtId="165" fontId="24" fillId="0" borderId="3" xfId="2" applyNumberFormat="1" applyFont="1" applyFill="1" applyBorder="1" applyAlignment="1" applyProtection="1">
      <alignment horizontal="center" vertical="center" wrapText="1"/>
      <protection locked="0"/>
    </xf>
    <xf numFmtId="165" fontId="20" fillId="0" borderId="3" xfId="2" applyNumberFormat="1"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3" fillId="0" borderId="3"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 fontId="23" fillId="0" borderId="3" xfId="2" applyNumberFormat="1" applyFont="1" applyFill="1" applyBorder="1" applyAlignment="1" applyProtection="1">
      <alignment horizontal="center" vertical="center"/>
      <protection locked="0"/>
    </xf>
    <xf numFmtId="0" fontId="22" fillId="0" borderId="1" xfId="2" applyNumberFormat="1" applyFont="1" applyFill="1" applyBorder="1" applyAlignment="1" applyProtection="1">
      <alignment horizontal="center" vertical="center" wrapText="1"/>
      <protection locked="0"/>
    </xf>
    <xf numFmtId="43" fontId="26" fillId="0" borderId="3" xfId="2"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5"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165" fontId="23" fillId="0" borderId="3" xfId="2" applyNumberFormat="1" applyFont="1" applyFill="1" applyBorder="1" applyAlignment="1" applyProtection="1">
      <alignment horizontal="center" vertical="center" wrapText="1"/>
      <protection locked="0"/>
    </xf>
    <xf numFmtId="0" fontId="26" fillId="0" borderId="3" xfId="2" applyNumberFormat="1" applyFont="1" applyFill="1" applyBorder="1" applyAlignment="1" applyProtection="1">
      <alignment horizontal="center" vertical="center" wrapText="1"/>
      <protection locked="0"/>
    </xf>
    <xf numFmtId="165" fontId="26" fillId="0" borderId="3" xfId="2" applyNumberFormat="1" applyFont="1" applyFill="1" applyBorder="1" applyAlignment="1" applyProtection="1">
      <alignment horizontal="center" vertical="center" wrapText="1"/>
      <protection locked="0"/>
    </xf>
    <xf numFmtId="0" fontId="27" fillId="0" borderId="10" xfId="2" applyNumberFormat="1" applyFont="1" applyFill="1" applyBorder="1" applyAlignment="1" applyProtection="1">
      <alignment horizontal="center" vertical="center" wrapText="1"/>
      <protection locked="0"/>
    </xf>
    <xf numFmtId="1" fontId="27" fillId="0" borderId="3" xfId="4" applyNumberFormat="1" applyFont="1" applyFill="1" applyBorder="1" applyAlignment="1" applyProtection="1">
      <alignment horizontal="center" vertical="center" wrapText="1"/>
      <protection locked="0"/>
    </xf>
    <xf numFmtId="1" fontId="27" fillId="0" borderId="3" xfId="2" applyNumberFormat="1" applyFont="1" applyFill="1" applyBorder="1" applyAlignment="1" applyProtection="1">
      <alignment horizontal="center" vertical="center"/>
      <protection locked="0"/>
    </xf>
    <xf numFmtId="165" fontId="27" fillId="0" borderId="3" xfId="2" applyNumberFormat="1" applyFont="1" applyFill="1" applyBorder="1" applyAlignment="1" applyProtection="1">
      <alignment horizontal="center" vertical="center" wrapText="1"/>
      <protection locked="0"/>
    </xf>
    <xf numFmtId="43" fontId="27" fillId="0" borderId="3" xfId="2" applyFont="1" applyFill="1" applyBorder="1" applyAlignment="1" applyProtection="1">
      <alignment horizontal="center" vertical="center" wrapText="1"/>
      <protection locked="0"/>
    </xf>
    <xf numFmtId="165" fontId="0" fillId="0" borderId="0" xfId="2" applyNumberFormat="1" applyFont="1"/>
    <xf numFmtId="3" fontId="3" fillId="0" borderId="0" xfId="0" applyNumberFormat="1" applyFont="1" applyAlignment="1">
      <alignment vertical="center" wrapText="1"/>
    </xf>
    <xf numFmtId="165" fontId="3" fillId="0" borderId="0" xfId="0" applyNumberFormat="1" applyFont="1" applyAlignment="1">
      <alignment vertical="center" wrapText="1"/>
    </xf>
    <xf numFmtId="165" fontId="0" fillId="0" borderId="0" xfId="2" applyNumberFormat="1" applyFont="1" applyFill="1"/>
    <xf numFmtId="0" fontId="28" fillId="0" borderId="7" xfId="2" applyNumberFormat="1" applyFont="1" applyFill="1" applyBorder="1" applyAlignment="1" applyProtection="1">
      <alignment horizontal="center" vertical="center" wrapText="1"/>
      <protection locked="0"/>
    </xf>
    <xf numFmtId="0" fontId="28" fillId="0" borderId="1" xfId="2" applyNumberFormat="1" applyFont="1" applyFill="1" applyBorder="1" applyAlignment="1" applyProtection="1">
      <alignment horizontal="center" vertical="center" wrapText="1"/>
      <protection locked="0"/>
    </xf>
    <xf numFmtId="1" fontId="28" fillId="0" borderId="1" xfId="4" applyNumberFormat="1" applyFont="1" applyFill="1" applyBorder="1" applyAlignment="1" applyProtection="1">
      <alignment horizontal="center" vertical="center" wrapText="1"/>
      <protection locked="0"/>
    </xf>
    <xf numFmtId="1" fontId="28" fillId="0" borderId="1" xfId="2" applyNumberFormat="1" applyFont="1" applyFill="1" applyBorder="1" applyAlignment="1" applyProtection="1">
      <alignment horizontal="center" vertical="center"/>
      <protection locked="0"/>
    </xf>
    <xf numFmtId="165" fontId="28" fillId="0" borderId="1" xfId="2" applyNumberFormat="1" applyFont="1" applyFill="1" applyBorder="1" applyAlignment="1" applyProtection="1">
      <alignment horizontal="center" vertical="center" wrapText="1"/>
      <protection locked="0"/>
    </xf>
    <xf numFmtId="43" fontId="28" fillId="0" borderId="1" xfId="2" applyFont="1" applyFill="1" applyBorder="1" applyAlignment="1" applyProtection="1">
      <alignment horizontal="center" vertical="center" wrapText="1"/>
      <protection locked="0"/>
    </xf>
    <xf numFmtId="0" fontId="28" fillId="0" borderId="10" xfId="2" applyNumberFormat="1" applyFont="1" applyFill="1" applyBorder="1" applyAlignment="1" applyProtection="1">
      <alignment horizontal="center" vertical="center" wrapText="1"/>
      <protection locked="0"/>
    </xf>
    <xf numFmtId="0" fontId="28" fillId="0" borderId="3" xfId="2" applyNumberFormat="1" applyFont="1" applyFill="1" applyBorder="1" applyAlignment="1" applyProtection="1">
      <alignment horizontal="center" vertical="center" wrapText="1"/>
      <protection locked="0"/>
    </xf>
    <xf numFmtId="1" fontId="28" fillId="0" borderId="3" xfId="4" applyNumberFormat="1" applyFont="1" applyFill="1" applyBorder="1" applyAlignment="1" applyProtection="1">
      <alignment horizontal="center" vertical="center" wrapText="1"/>
      <protection locked="0"/>
    </xf>
    <xf numFmtId="1" fontId="28" fillId="0" borderId="3" xfId="2" applyNumberFormat="1" applyFont="1" applyFill="1" applyBorder="1" applyAlignment="1" applyProtection="1">
      <alignment horizontal="center" vertical="center"/>
      <protection locked="0"/>
    </xf>
    <xf numFmtId="165" fontId="28" fillId="0" borderId="3" xfId="2" applyNumberFormat="1" applyFont="1" applyFill="1" applyBorder="1" applyAlignment="1" applyProtection="1">
      <alignment horizontal="center" vertical="center" wrapText="1"/>
      <protection locked="0"/>
    </xf>
    <xf numFmtId="43" fontId="28" fillId="0" borderId="3" xfId="2" applyFont="1" applyFill="1" applyBorder="1" applyAlignment="1" applyProtection="1">
      <alignment horizontal="center" vertical="center" wrapText="1"/>
      <protection locked="0"/>
    </xf>
    <xf numFmtId="43" fontId="27" fillId="0" borderId="1" xfId="2" applyFont="1" applyFill="1" applyBorder="1" applyAlignment="1" applyProtection="1">
      <alignment horizontal="center" vertical="center" wrapText="1"/>
      <protection locked="0"/>
    </xf>
    <xf numFmtId="0" fontId="29" fillId="0" borderId="7" xfId="2" applyNumberFormat="1" applyFont="1" applyFill="1" applyBorder="1" applyAlignment="1" applyProtection="1">
      <alignment horizontal="center" vertical="center" wrapText="1"/>
      <protection locked="0"/>
    </xf>
    <xf numFmtId="0" fontId="29" fillId="0" borderId="1" xfId="2" applyNumberFormat="1" applyFont="1" applyFill="1" applyBorder="1" applyAlignment="1" applyProtection="1">
      <alignment horizontal="center" vertical="center" wrapText="1"/>
      <protection locked="0"/>
    </xf>
    <xf numFmtId="1" fontId="29" fillId="0" borderId="1" xfId="4" applyNumberFormat="1" applyFont="1" applyFill="1" applyBorder="1" applyAlignment="1" applyProtection="1">
      <alignment horizontal="center" vertical="center" wrapText="1"/>
      <protection locked="0"/>
    </xf>
    <xf numFmtId="1" fontId="29" fillId="0" borderId="1" xfId="2" applyNumberFormat="1" applyFont="1" applyFill="1" applyBorder="1" applyAlignment="1" applyProtection="1">
      <alignment horizontal="center" vertical="center"/>
      <protection locked="0"/>
    </xf>
    <xf numFmtId="165" fontId="29" fillId="0" borderId="1" xfId="2" applyNumberFormat="1" applyFont="1" applyFill="1" applyBorder="1" applyAlignment="1" applyProtection="1">
      <alignment horizontal="center" vertical="center" wrapText="1"/>
      <protection locked="0"/>
    </xf>
    <xf numFmtId="43" fontId="29" fillId="0" borderId="1" xfId="2" applyFont="1" applyFill="1" applyBorder="1" applyAlignment="1" applyProtection="1">
      <alignment horizontal="center" vertical="center" wrapText="1"/>
      <protection locked="0"/>
    </xf>
    <xf numFmtId="0" fontId="29" fillId="0" borderId="10" xfId="2" applyNumberFormat="1" applyFont="1" applyFill="1" applyBorder="1" applyAlignment="1" applyProtection="1">
      <alignment horizontal="center" vertical="center" wrapText="1"/>
      <protection locked="0"/>
    </xf>
    <xf numFmtId="0" fontId="30" fillId="0" borderId="10" xfId="2" applyNumberFormat="1" applyFont="1" applyFill="1" applyBorder="1" applyAlignment="1" applyProtection="1">
      <alignment horizontal="center" vertical="center" wrapText="1"/>
      <protection locked="0"/>
    </xf>
    <xf numFmtId="0" fontId="20" fillId="0" borderId="3" xfId="2" applyNumberFormat="1" applyFont="1" applyFill="1" applyBorder="1" applyAlignment="1" applyProtection="1">
      <alignment horizontal="center" vertical="center" wrapText="1"/>
      <protection locked="0"/>
    </xf>
    <xf numFmtId="0" fontId="30" fillId="0" borderId="3" xfId="2" applyNumberFormat="1" applyFont="1" applyFill="1" applyBorder="1" applyAlignment="1" applyProtection="1">
      <alignment horizontal="center" vertical="center" wrapText="1"/>
      <protection locked="0"/>
    </xf>
    <xf numFmtId="1" fontId="29" fillId="0" borderId="3" xfId="4" applyNumberFormat="1" applyFont="1" applyFill="1" applyBorder="1" applyAlignment="1" applyProtection="1">
      <alignment horizontal="center" vertical="center" wrapText="1"/>
      <protection locked="0"/>
    </xf>
    <xf numFmtId="1" fontId="30" fillId="0" borderId="3" xfId="4" applyNumberFormat="1" applyFont="1" applyFill="1" applyBorder="1" applyAlignment="1" applyProtection="1">
      <alignment horizontal="center" vertical="center" wrapText="1"/>
      <protection locked="0"/>
    </xf>
    <xf numFmtId="1" fontId="29" fillId="0" borderId="3" xfId="2" applyNumberFormat="1" applyFont="1" applyFill="1" applyBorder="1" applyAlignment="1" applyProtection="1">
      <alignment horizontal="center" vertical="center"/>
      <protection locked="0"/>
    </xf>
    <xf numFmtId="1" fontId="30" fillId="0" borderId="3" xfId="2" applyNumberFormat="1" applyFont="1" applyFill="1" applyBorder="1" applyAlignment="1" applyProtection="1">
      <alignment horizontal="center" vertical="center"/>
      <protection locked="0"/>
    </xf>
    <xf numFmtId="165" fontId="29" fillId="0" borderId="3" xfId="2" applyNumberFormat="1" applyFont="1" applyFill="1" applyBorder="1" applyAlignment="1" applyProtection="1">
      <alignment horizontal="center" vertical="center" wrapText="1"/>
      <protection locked="0"/>
    </xf>
    <xf numFmtId="165" fontId="30" fillId="0" borderId="3" xfId="2" applyNumberFormat="1" applyFont="1" applyFill="1" applyBorder="1" applyAlignment="1" applyProtection="1">
      <alignment horizontal="center" vertical="center" wrapText="1"/>
      <protection locked="0"/>
    </xf>
    <xf numFmtId="43" fontId="29" fillId="0" borderId="3" xfId="2" applyFont="1" applyFill="1" applyBorder="1" applyAlignment="1" applyProtection="1">
      <alignment horizontal="center" vertical="center" wrapText="1"/>
      <protection locked="0"/>
    </xf>
    <xf numFmtId="43" fontId="30" fillId="0" borderId="3" xfId="2" applyFont="1" applyFill="1" applyBorder="1" applyAlignment="1" applyProtection="1">
      <alignment horizontal="center" vertical="center" wrapText="1"/>
      <protection locked="0"/>
    </xf>
    <xf numFmtId="0" fontId="31" fillId="0" borderId="10" xfId="2" applyNumberFormat="1" applyFont="1" applyFill="1" applyBorder="1" applyAlignment="1" applyProtection="1">
      <alignment horizontal="center" vertical="center" wrapText="1"/>
      <protection locked="0"/>
    </xf>
    <xf numFmtId="0" fontId="19" fillId="0" borderId="10" xfId="2" applyNumberFormat="1" applyFont="1" applyFill="1" applyBorder="1" applyAlignment="1" applyProtection="1">
      <alignment horizontal="center" vertical="center" wrapText="1"/>
      <protection locked="0"/>
    </xf>
    <xf numFmtId="0" fontId="31" fillId="0" borderId="3" xfId="2" applyNumberFormat="1" applyFont="1" applyFill="1" applyBorder="1" applyAlignment="1" applyProtection="1">
      <alignment horizontal="center" vertical="center" wrapText="1"/>
      <protection locked="0"/>
    </xf>
    <xf numFmtId="0" fontId="25" fillId="0" borderId="1" xfId="2" applyNumberFormat="1" applyFont="1" applyFill="1" applyBorder="1" applyAlignment="1" applyProtection="1">
      <alignment horizontal="center" vertical="center" wrapText="1"/>
      <protection locked="0"/>
    </xf>
    <xf numFmtId="0" fontId="19" fillId="0" borderId="3" xfId="2" applyNumberFormat="1" applyFont="1" applyFill="1" applyBorder="1" applyAlignment="1" applyProtection="1">
      <alignment horizontal="center" vertical="center" wrapText="1"/>
      <protection locked="0"/>
    </xf>
    <xf numFmtId="0" fontId="27" fillId="0" borderId="3" xfId="2" applyNumberFormat="1" applyFont="1" applyFill="1" applyBorder="1" applyAlignment="1" applyProtection="1">
      <alignment horizontal="center" vertical="center" wrapText="1"/>
      <protection locked="0"/>
    </xf>
    <xf numFmtId="0" fontId="24" fillId="0" borderId="3" xfId="2" applyNumberFormat="1" applyFont="1" applyFill="1" applyBorder="1" applyAlignment="1" applyProtection="1">
      <alignment horizontal="center" vertical="center" wrapText="1"/>
      <protection locked="0"/>
    </xf>
    <xf numFmtId="1" fontId="31" fillId="0" borderId="3" xfId="4" applyNumberFormat="1" applyFont="1" applyFill="1" applyBorder="1" applyAlignment="1" applyProtection="1">
      <alignment horizontal="center" vertical="center" wrapText="1"/>
      <protection locked="0"/>
    </xf>
    <xf numFmtId="1" fontId="19" fillId="0" borderId="3" xfId="4" applyNumberFormat="1" applyFont="1" applyFill="1" applyBorder="1" applyAlignment="1" applyProtection="1">
      <alignment horizontal="center" vertical="center" wrapText="1"/>
      <protection locked="0"/>
    </xf>
    <xf numFmtId="1" fontId="31" fillId="0" borderId="3" xfId="2" applyNumberFormat="1" applyFont="1" applyFill="1" applyBorder="1" applyAlignment="1" applyProtection="1">
      <alignment horizontal="center" vertical="center"/>
      <protection locked="0"/>
    </xf>
    <xf numFmtId="1" fontId="19" fillId="0" borderId="3" xfId="2" applyNumberFormat="1" applyFont="1" applyFill="1" applyBorder="1" applyAlignment="1" applyProtection="1">
      <alignment horizontal="center" vertical="center"/>
      <protection locked="0"/>
    </xf>
    <xf numFmtId="165" fontId="31" fillId="0" borderId="3" xfId="2" applyNumberFormat="1" applyFont="1" applyFill="1" applyBorder="1" applyAlignment="1" applyProtection="1">
      <alignment horizontal="center" vertical="center" wrapText="1"/>
      <protection locked="0"/>
    </xf>
    <xf numFmtId="165" fontId="19" fillId="0" borderId="3" xfId="2" applyNumberFormat="1" applyFont="1" applyFill="1" applyBorder="1" applyAlignment="1" applyProtection="1">
      <alignment horizontal="center" vertical="center" wrapText="1"/>
      <protection locked="0"/>
    </xf>
    <xf numFmtId="165" fontId="25" fillId="0" borderId="1" xfId="2" applyNumberFormat="1" applyFont="1" applyFill="1" applyBorder="1" applyAlignment="1" applyProtection="1">
      <alignment horizontal="center" vertical="center" wrapText="1"/>
      <protection locked="0"/>
    </xf>
    <xf numFmtId="43" fontId="31" fillId="0" borderId="3" xfId="2" applyFont="1" applyFill="1" applyBorder="1" applyAlignment="1" applyProtection="1">
      <alignment horizontal="center" vertical="center" wrapText="1"/>
      <protection locked="0"/>
    </xf>
    <xf numFmtId="43" fontId="19" fillId="0" borderId="3" xfId="2"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23" fillId="0" borderId="1" xfId="2" applyNumberFormat="1"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43" fontId="23" fillId="0" borderId="1" xfId="2" applyFont="1" applyFill="1" applyBorder="1" applyAlignment="1" applyProtection="1">
      <alignment horizontal="center" vertical="center" wrapText="1"/>
      <protection locked="0"/>
    </xf>
    <xf numFmtId="0" fontId="23" fillId="0" borderId="1" xfId="5"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1" fontId="24" fillId="0" borderId="1" xfId="0" applyNumberFormat="1" applyFont="1" applyBorder="1" applyAlignment="1" applyProtection="1">
      <alignment horizontal="center" vertical="center" wrapText="1"/>
      <protection locked="0"/>
    </xf>
    <xf numFmtId="0" fontId="24" fillId="0" borderId="1" xfId="5" applyFont="1" applyBorder="1" applyAlignment="1">
      <alignment horizontal="center" vertical="center" wrapText="1"/>
    </xf>
    <xf numFmtId="0" fontId="24" fillId="0" borderId="6" xfId="5" applyFont="1" applyBorder="1" applyAlignment="1" applyProtection="1">
      <alignment horizontal="center" vertical="center" wrapText="1"/>
      <protection locked="0"/>
    </xf>
    <xf numFmtId="0" fontId="24" fillId="0" borderId="1" xfId="5"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 xfId="5" applyFont="1" applyBorder="1" applyAlignment="1" applyProtection="1">
      <alignment horizontal="center" vertical="center" wrapText="1"/>
      <protection locked="0"/>
    </xf>
    <xf numFmtId="1" fontId="28" fillId="0" borderId="1" xfId="0" applyNumberFormat="1" applyFont="1" applyBorder="1" applyAlignment="1" applyProtection="1">
      <alignment horizontal="center" vertical="center" wrapText="1"/>
      <protection locked="0"/>
    </xf>
    <xf numFmtId="0" fontId="28" fillId="0" borderId="1" xfId="5" applyFont="1" applyBorder="1" applyAlignment="1">
      <alignment horizontal="center" vertical="center" wrapText="1"/>
    </xf>
    <xf numFmtId="0" fontId="28" fillId="0" borderId="6" xfId="5"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 xfId="5" applyFont="1" applyBorder="1" applyAlignment="1" applyProtection="1">
      <alignment horizontal="center" vertical="center" wrapText="1"/>
      <protection locked="0"/>
    </xf>
    <xf numFmtId="1" fontId="29" fillId="0" borderId="1" xfId="0" applyNumberFormat="1" applyFont="1" applyBorder="1" applyAlignment="1" applyProtection="1">
      <alignment horizontal="center" vertical="center" wrapText="1"/>
      <protection locked="0"/>
    </xf>
    <xf numFmtId="0" fontId="29" fillId="0" borderId="1" xfId="5" applyFont="1" applyBorder="1" applyAlignment="1">
      <alignment horizontal="center" vertical="center" wrapText="1"/>
    </xf>
    <xf numFmtId="0" fontId="29" fillId="0" borderId="6" xfId="5" applyFont="1" applyBorder="1" applyAlignment="1" applyProtection="1">
      <alignment horizontal="center" vertical="center" wrapText="1"/>
      <protection locked="0"/>
    </xf>
    <xf numFmtId="0" fontId="31" fillId="0" borderId="7" xfId="2" applyNumberFormat="1" applyFont="1" applyFill="1" applyBorder="1" applyAlignment="1" applyProtection="1">
      <alignment horizontal="center" vertical="center" wrapText="1"/>
      <protection locked="0"/>
    </xf>
    <xf numFmtId="0" fontId="31" fillId="0" borderId="1" xfId="2"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1" xfId="5" applyFont="1" applyBorder="1" applyAlignment="1" applyProtection="1">
      <alignment horizontal="center" vertical="center" wrapText="1"/>
      <protection locked="0"/>
    </xf>
    <xf numFmtId="1" fontId="31" fillId="0" borderId="1" xfId="4" applyNumberFormat="1" applyFont="1" applyFill="1" applyBorder="1" applyAlignment="1" applyProtection="1">
      <alignment horizontal="center" vertical="center" wrapText="1"/>
      <protection locked="0"/>
    </xf>
    <xf numFmtId="1" fontId="31" fillId="0" borderId="1" xfId="0" applyNumberFormat="1" applyFont="1" applyBorder="1" applyAlignment="1" applyProtection="1">
      <alignment horizontal="center" vertical="center" wrapText="1"/>
      <protection locked="0"/>
    </xf>
    <xf numFmtId="1" fontId="31" fillId="0" borderId="1" xfId="2" applyNumberFormat="1" applyFont="1" applyFill="1" applyBorder="1" applyAlignment="1" applyProtection="1">
      <alignment horizontal="center" vertical="center"/>
      <protection locked="0"/>
    </xf>
    <xf numFmtId="165" fontId="31" fillId="0" borderId="1" xfId="2" applyNumberFormat="1" applyFont="1" applyFill="1" applyBorder="1" applyAlignment="1" applyProtection="1">
      <alignment horizontal="center" vertical="center" wrapText="1"/>
      <protection locked="0"/>
    </xf>
    <xf numFmtId="43" fontId="31" fillId="0" borderId="1" xfId="2" applyFont="1" applyFill="1" applyBorder="1" applyAlignment="1" applyProtection="1">
      <alignment horizontal="center" vertical="center" wrapText="1"/>
      <protection locked="0"/>
    </xf>
    <xf numFmtId="0" fontId="31" fillId="0" borderId="1" xfId="5"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14" fillId="0" borderId="1" xfId="0" applyFont="1" applyBorder="1" applyAlignment="1" applyProtection="1">
      <alignment vertical="center" wrapText="1"/>
      <protection locked="0"/>
    </xf>
    <xf numFmtId="0" fontId="14" fillId="0" borderId="3" xfId="0" applyFont="1" applyBorder="1" applyAlignment="1" applyProtection="1">
      <alignment horizontal="center" vertical="center" wrapText="1"/>
      <protection locked="0"/>
    </xf>
    <xf numFmtId="1" fontId="14" fillId="0" borderId="3" xfId="0" applyNumberFormat="1" applyFont="1" applyBorder="1" applyAlignment="1" applyProtection="1">
      <alignment horizontal="center" vertical="center" wrapText="1"/>
      <protection locked="0"/>
    </xf>
    <xf numFmtId="0" fontId="14" fillId="0" borderId="3" xfId="5" applyFont="1" applyBorder="1" applyAlignment="1">
      <alignment horizontal="center" vertical="center" wrapText="1"/>
    </xf>
    <xf numFmtId="0" fontId="14" fillId="0" borderId="3" xfId="5"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14" fillId="0" borderId="11" xfId="5"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3" xfId="5" applyFont="1" applyBorder="1" applyAlignment="1" applyProtection="1">
      <alignment horizontal="center" vertical="center" wrapText="1"/>
      <protection locked="0"/>
    </xf>
    <xf numFmtId="1" fontId="19" fillId="0" borderId="3" xfId="0" applyNumberFormat="1" applyFont="1" applyBorder="1" applyAlignment="1" applyProtection="1">
      <alignment horizontal="center" vertical="center" wrapText="1"/>
      <protection locked="0"/>
    </xf>
    <xf numFmtId="0" fontId="19" fillId="0" borderId="3" xfId="5" applyFont="1" applyBorder="1" applyAlignment="1">
      <alignment horizontal="center" vertical="center" wrapText="1"/>
    </xf>
    <xf numFmtId="0" fontId="19" fillId="0" borderId="11" xfId="5"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5"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5"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1" xfId="5"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0" fillId="0" borderId="3" xfId="5" applyFont="1" applyBorder="1" applyAlignment="1">
      <alignment horizontal="center" vertical="center" wrapText="1"/>
    </xf>
    <xf numFmtId="0" fontId="20" fillId="0" borderId="11" xfId="5"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0" fontId="20" fillId="0" borderId="3" xfId="5"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wrapText="1"/>
      <protection locked="0"/>
    </xf>
    <xf numFmtId="0" fontId="23" fillId="0" borderId="3" xfId="5" applyFont="1" applyBorder="1" applyAlignment="1">
      <alignment horizontal="center" vertical="center" wrapText="1"/>
    </xf>
    <xf numFmtId="0" fontId="23" fillId="0" borderId="11" xfId="5"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1" fontId="24" fillId="0" borderId="3" xfId="0" applyNumberFormat="1" applyFont="1" applyBorder="1" applyAlignment="1" applyProtection="1">
      <alignment horizontal="center" vertical="center" wrapText="1"/>
      <protection locked="0"/>
    </xf>
    <xf numFmtId="0" fontId="24" fillId="0" borderId="3" xfId="5" applyFont="1" applyBorder="1" applyAlignment="1">
      <alignment horizontal="center" vertical="center" wrapText="1"/>
    </xf>
    <xf numFmtId="0" fontId="24" fillId="0" borderId="11" xfId="5" applyFont="1" applyBorder="1" applyAlignment="1" applyProtection="1">
      <alignment horizontal="center" vertical="center" wrapText="1"/>
      <protection locked="0"/>
    </xf>
    <xf numFmtId="0" fontId="24" fillId="0" borderId="3" xfId="5"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6" xfId="5" applyFont="1" applyBorder="1" applyAlignment="1" applyProtection="1">
      <alignment horizontal="center" vertical="center" wrapText="1"/>
      <protection locked="0"/>
    </xf>
    <xf numFmtId="0" fontId="25" fillId="0" borderId="1" xfId="5" applyFont="1" applyBorder="1" applyAlignment="1" applyProtection="1">
      <alignment horizontal="center" vertical="center" wrapText="1"/>
      <protection locked="0"/>
    </xf>
    <xf numFmtId="0" fontId="15" fillId="0" borderId="12" xfId="5" applyFont="1" applyBorder="1" applyAlignment="1" applyProtection="1">
      <alignment horizontal="center" vertical="center" wrapText="1"/>
      <protection locked="0"/>
    </xf>
    <xf numFmtId="0" fontId="15" fillId="0" borderId="10" xfId="5" applyFont="1" applyBorder="1" applyAlignment="1" applyProtection="1">
      <alignment horizontal="center" vertical="center" wrapText="1"/>
      <protection locked="0"/>
    </xf>
    <xf numFmtId="0" fontId="15" fillId="0" borderId="11" xfId="5" applyFont="1" applyBorder="1" applyAlignment="1" applyProtection="1">
      <alignment horizontal="center" vertical="center" wrapText="1"/>
      <protection locked="0"/>
    </xf>
    <xf numFmtId="0" fontId="27" fillId="0" borderId="1" xfId="5"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1" fontId="27" fillId="0" borderId="3" xfId="0" applyNumberFormat="1" applyFont="1" applyBorder="1" applyAlignment="1" applyProtection="1">
      <alignment horizontal="center" vertical="center" wrapText="1"/>
      <protection locked="0"/>
    </xf>
    <xf numFmtId="0" fontId="27" fillId="0" borderId="3" xfId="5" applyFont="1" applyBorder="1" applyAlignment="1">
      <alignment horizontal="center" vertical="center" wrapText="1"/>
    </xf>
    <xf numFmtId="0" fontId="27" fillId="0" borderId="11" xfId="5" applyFont="1" applyBorder="1" applyAlignment="1" applyProtection="1">
      <alignment horizontal="center" vertical="center" wrapText="1"/>
      <protection locked="0"/>
    </xf>
    <xf numFmtId="0" fontId="27" fillId="0" borderId="1" xfId="5" applyFont="1" applyBorder="1" applyAlignment="1">
      <alignment horizontal="center" vertical="center" wrapText="1"/>
    </xf>
    <xf numFmtId="0" fontId="27" fillId="0" borderId="3" xfId="5"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1" fontId="28" fillId="0" borderId="3" xfId="0" applyNumberFormat="1" applyFont="1" applyBorder="1" applyAlignment="1" applyProtection="1">
      <alignment horizontal="center" vertical="center" wrapText="1"/>
      <protection locked="0"/>
    </xf>
    <xf numFmtId="0" fontId="28" fillId="0" borderId="3" xfId="5" applyFont="1" applyBorder="1" applyAlignment="1" applyProtection="1">
      <alignment horizontal="center" vertical="center" wrapText="1"/>
      <protection locked="0"/>
    </xf>
    <xf numFmtId="0" fontId="28" fillId="0" borderId="3" xfId="5" applyFont="1" applyBorder="1" applyAlignment="1">
      <alignment horizontal="center" vertical="center" wrapText="1"/>
    </xf>
    <xf numFmtId="0" fontId="28" fillId="0" borderId="11" xfId="5"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3" xfId="5" applyFont="1" applyBorder="1" applyAlignment="1" applyProtection="1">
      <alignment horizontal="center" vertical="center" wrapText="1"/>
      <protection locked="0"/>
    </xf>
    <xf numFmtId="1" fontId="29" fillId="0" borderId="3" xfId="0" applyNumberFormat="1" applyFont="1" applyBorder="1" applyAlignment="1" applyProtection="1">
      <alignment horizontal="center" vertical="center" wrapText="1"/>
      <protection locked="0"/>
    </xf>
    <xf numFmtId="0" fontId="29" fillId="0" borderId="3" xfId="5" applyFont="1" applyBorder="1" applyAlignment="1">
      <alignment horizontal="center" vertical="center" wrapText="1"/>
    </xf>
    <xf numFmtId="0" fontId="29" fillId="0" borderId="11" xfId="5"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3" xfId="5" applyFont="1" applyBorder="1" applyAlignment="1" applyProtection="1">
      <alignment horizontal="center" vertical="center" wrapText="1"/>
      <protection locked="0"/>
    </xf>
    <xf numFmtId="1" fontId="30" fillId="0" borderId="3" xfId="0" applyNumberFormat="1" applyFont="1" applyBorder="1" applyAlignment="1" applyProtection="1">
      <alignment horizontal="center" vertical="center" wrapText="1"/>
      <protection locked="0"/>
    </xf>
    <xf numFmtId="0" fontId="30" fillId="0" borderId="3" xfId="5" applyFont="1" applyBorder="1" applyAlignment="1">
      <alignment horizontal="center" vertical="center" wrapText="1"/>
    </xf>
    <xf numFmtId="0" fontId="30" fillId="0" borderId="11" xfId="5"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1" fontId="31" fillId="0" borderId="3" xfId="0" applyNumberFormat="1" applyFont="1" applyBorder="1" applyAlignment="1" applyProtection="1">
      <alignment horizontal="center" vertical="center" wrapText="1"/>
      <protection locked="0"/>
    </xf>
    <xf numFmtId="0" fontId="31" fillId="0" borderId="3" xfId="5" applyFont="1" applyBorder="1" applyAlignment="1" applyProtection="1">
      <alignment horizontal="center" vertical="center" wrapText="1"/>
      <protection locked="0"/>
    </xf>
    <xf numFmtId="0" fontId="31" fillId="0" borderId="3" xfId="5" applyFont="1" applyBorder="1" applyAlignment="1">
      <alignment horizontal="center" vertical="center" wrapText="1"/>
    </xf>
    <xf numFmtId="0" fontId="31" fillId="0" borderId="11" xfId="5" applyFont="1" applyBorder="1" applyAlignment="1" applyProtection="1">
      <alignment horizontal="center" vertical="center" wrapText="1"/>
      <protection locked="0"/>
    </xf>
    <xf numFmtId="0" fontId="26" fillId="0" borderId="10" xfId="2" applyNumberFormat="1" applyFont="1" applyFill="1" applyBorder="1" applyAlignment="1" applyProtection="1">
      <alignment horizontal="center" vertical="center" wrapText="1"/>
      <protection locked="0"/>
    </xf>
    <xf numFmtId="0" fontId="32" fillId="0" borderId="10" xfId="2" applyNumberFormat="1" applyFont="1" applyFill="1" applyBorder="1" applyAlignment="1" applyProtection="1">
      <alignment horizontal="center" vertical="center" wrapText="1"/>
      <protection locked="0"/>
    </xf>
    <xf numFmtId="0" fontId="32" fillId="0" borderId="3" xfId="2" applyNumberFormat="1" applyFont="1" applyFill="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0" fontId="32" fillId="0" borderId="3" xfId="5" applyFont="1" applyBorder="1" applyAlignment="1" applyProtection="1">
      <alignment horizontal="center" vertical="center" wrapText="1"/>
      <protection locked="0"/>
    </xf>
    <xf numFmtId="1" fontId="26" fillId="0" borderId="3" xfId="4" applyNumberFormat="1" applyFont="1" applyFill="1" applyBorder="1" applyAlignment="1" applyProtection="1">
      <alignment horizontal="center" vertical="center" wrapText="1"/>
      <protection locked="0"/>
    </xf>
    <xf numFmtId="1" fontId="32" fillId="0" borderId="3" xfId="4" applyNumberFormat="1" applyFont="1" applyFill="1" applyBorder="1" applyAlignment="1" applyProtection="1">
      <alignment horizontal="center" vertical="center" wrapText="1"/>
      <protection locked="0"/>
    </xf>
    <xf numFmtId="1" fontId="26" fillId="0" borderId="3" xfId="0" applyNumberFormat="1" applyFont="1" applyBorder="1" applyAlignment="1" applyProtection="1">
      <alignment horizontal="center" vertical="center" wrapText="1"/>
      <protection locked="0"/>
    </xf>
    <xf numFmtId="1" fontId="32" fillId="0" borderId="3" xfId="0" applyNumberFormat="1" applyFont="1" applyBorder="1" applyAlignment="1" applyProtection="1">
      <alignment horizontal="center" vertical="center" wrapText="1"/>
      <protection locked="0"/>
    </xf>
    <xf numFmtId="1" fontId="26" fillId="0" borderId="3" xfId="2" applyNumberFormat="1" applyFont="1" applyFill="1" applyBorder="1" applyAlignment="1" applyProtection="1">
      <alignment horizontal="center" vertical="center"/>
      <protection locked="0"/>
    </xf>
    <xf numFmtId="1" fontId="32" fillId="0" borderId="3" xfId="2" applyNumberFormat="1" applyFont="1" applyFill="1" applyBorder="1" applyAlignment="1" applyProtection="1">
      <alignment horizontal="center" vertical="center"/>
      <protection locked="0"/>
    </xf>
    <xf numFmtId="165" fontId="32" fillId="0" borderId="3" xfId="2" applyNumberFormat="1" applyFont="1" applyFill="1" applyBorder="1" applyAlignment="1" applyProtection="1">
      <alignment horizontal="center" vertical="center" wrapText="1"/>
      <protection locked="0"/>
    </xf>
    <xf numFmtId="43" fontId="32" fillId="0" borderId="3" xfId="2" applyFont="1" applyFill="1" applyBorder="1" applyAlignment="1" applyProtection="1">
      <alignment horizontal="center" vertical="center" wrapText="1"/>
      <protection locked="0"/>
    </xf>
    <xf numFmtId="0" fontId="26" fillId="0" borderId="3" xfId="5" applyFont="1" applyBorder="1" applyAlignment="1">
      <alignment horizontal="center" vertical="center" wrapText="1"/>
    </xf>
    <xf numFmtId="0" fontId="32" fillId="0" borderId="3" xfId="5" applyFont="1" applyBorder="1" applyAlignment="1">
      <alignment horizontal="center" vertical="center" wrapText="1"/>
    </xf>
    <xf numFmtId="0" fontId="26" fillId="0" borderId="11" xfId="5" applyFont="1" applyBorder="1" applyAlignment="1" applyProtection="1">
      <alignment horizontal="center" vertical="center" wrapText="1"/>
      <protection locked="0"/>
    </xf>
    <xf numFmtId="0" fontId="32" fillId="0" borderId="11" xfId="5" applyFont="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15" fillId="4" borderId="1" xfId="5" applyFont="1" applyFill="1" applyBorder="1" applyAlignment="1" applyProtection="1">
      <alignment horizontal="center" vertical="center" wrapText="1"/>
      <protection locked="0"/>
    </xf>
    <xf numFmtId="0" fontId="14" fillId="5" borderId="7" xfId="2" applyNumberFormat="1" applyFont="1" applyFill="1" applyBorder="1" applyAlignment="1" applyProtection="1">
      <alignment horizontal="center" vertical="center" wrapText="1"/>
      <protection locked="0"/>
    </xf>
    <xf numFmtId="0" fontId="14" fillId="5" borderId="1" xfId="2" applyNumberFormat="1"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1" xfId="5" applyFont="1" applyFill="1" applyBorder="1" applyAlignment="1" applyProtection="1">
      <alignment horizontal="center" vertical="center" wrapText="1"/>
      <protection locked="0"/>
    </xf>
    <xf numFmtId="1" fontId="14" fillId="5" borderId="1" xfId="4" applyNumberFormat="1" applyFont="1" applyFill="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1" fontId="14" fillId="5" borderId="1" xfId="2" applyNumberFormat="1" applyFont="1" applyFill="1" applyBorder="1" applyAlignment="1" applyProtection="1">
      <alignment horizontal="center" vertical="center"/>
      <protection locked="0"/>
    </xf>
    <xf numFmtId="165" fontId="14" fillId="5" borderId="1" xfId="2" applyNumberFormat="1" applyFont="1" applyFill="1" applyBorder="1" applyAlignment="1" applyProtection="1">
      <alignment horizontal="center" vertical="center" wrapText="1"/>
      <protection locked="0"/>
    </xf>
    <xf numFmtId="43" fontId="14" fillId="5" borderId="1" xfId="2" applyFont="1" applyFill="1" applyBorder="1" applyAlignment="1" applyProtection="1">
      <alignment horizontal="center" vertical="center" wrapText="1"/>
      <protection locked="0"/>
    </xf>
    <xf numFmtId="0" fontId="14" fillId="5" borderId="1" xfId="5" applyFont="1" applyFill="1" applyBorder="1" applyAlignment="1">
      <alignment horizontal="center" vertical="center" wrapText="1"/>
    </xf>
    <xf numFmtId="0" fontId="14" fillId="5" borderId="6" xfId="5" applyFont="1" applyFill="1" applyBorder="1" applyAlignment="1" applyProtection="1">
      <alignment horizontal="center" vertical="center" wrapText="1"/>
      <protection locked="0"/>
    </xf>
    <xf numFmtId="43" fontId="3" fillId="5" borderId="1" xfId="2" applyFont="1" applyFill="1" applyBorder="1" applyAlignment="1" applyProtection="1">
      <alignment horizontal="center" vertical="center" wrapText="1"/>
      <protection locked="0"/>
    </xf>
    <xf numFmtId="0" fontId="25" fillId="0" borderId="10" xfId="2" applyNumberFormat="1" applyFont="1" applyFill="1" applyBorder="1" applyAlignment="1" applyProtection="1">
      <alignment horizontal="center" vertical="center" wrapText="1"/>
      <protection locked="0"/>
    </xf>
    <xf numFmtId="0" fontId="27" fillId="0" borderId="7" xfId="2" applyNumberFormat="1" applyFont="1" applyFill="1" applyBorder="1" applyAlignment="1" applyProtection="1">
      <alignment horizontal="center" vertical="center" wrapText="1"/>
      <protection locked="0"/>
    </xf>
    <xf numFmtId="0" fontId="3" fillId="5" borderId="7" xfId="2" applyNumberFormat="1" applyFont="1" applyFill="1" applyBorder="1" applyAlignment="1" applyProtection="1">
      <alignment horizontal="center" vertical="center" wrapText="1"/>
      <protection locked="0"/>
    </xf>
    <xf numFmtId="0" fontId="30" fillId="0" borderId="7" xfId="2" applyNumberFormat="1" applyFont="1" applyFill="1" applyBorder="1" applyAlignment="1" applyProtection="1">
      <alignment horizontal="center" vertical="center" wrapText="1"/>
      <protection locked="0"/>
    </xf>
    <xf numFmtId="0" fontId="27" fillId="0" borderId="1" xfId="2" applyNumberFormat="1" applyFont="1" applyFill="1" applyBorder="1" applyAlignment="1" applyProtection="1">
      <alignment horizontal="center" vertical="center" wrapText="1"/>
      <protection locked="0"/>
    </xf>
    <xf numFmtId="0" fontId="29" fillId="0" borderId="3" xfId="2" applyNumberFormat="1" applyFont="1" applyFill="1" applyBorder="1" applyAlignment="1" applyProtection="1">
      <alignment horizontal="center" vertical="center" wrapText="1"/>
      <protection locked="0"/>
    </xf>
    <xf numFmtId="0" fontId="21" fillId="0" borderId="3" xfId="2" applyNumberFormat="1" applyFont="1" applyFill="1" applyBorder="1" applyAlignment="1" applyProtection="1">
      <alignment horizontal="center" vertical="center" wrapText="1"/>
      <protection locked="0"/>
    </xf>
    <xf numFmtId="0" fontId="26" fillId="0" borderId="1"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0" fillId="0" borderId="1" xfId="2" applyNumberFormat="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0" fontId="30" fillId="0" borderId="1" xfId="5"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1" fontId="25" fillId="0" borderId="3" xfId="4" applyNumberFormat="1" applyFont="1" applyFill="1" applyBorder="1" applyAlignment="1" applyProtection="1">
      <alignment horizontal="center" vertical="center" wrapText="1"/>
      <protection locked="0"/>
    </xf>
    <xf numFmtId="0" fontId="28" fillId="0" borderId="3" xfId="4" applyNumberFormat="1" applyFont="1" applyFill="1" applyBorder="1" applyAlignment="1" applyProtection="1">
      <alignment horizontal="center" vertical="center" wrapText="1"/>
      <protection locked="0"/>
    </xf>
    <xf numFmtId="1" fontId="27" fillId="0" borderId="1" xfId="4" applyNumberFormat="1"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0" fillId="0" borderId="1" xfId="4" applyNumberFormat="1" applyFont="1" applyFill="1" applyBorder="1" applyAlignment="1" applyProtection="1">
      <alignment horizontal="center" vertical="center" wrapText="1"/>
      <protection locked="0"/>
    </xf>
    <xf numFmtId="1" fontId="25" fillId="0" borderId="3"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wrapText="1"/>
      <protection locked="0"/>
    </xf>
    <xf numFmtId="1" fontId="25" fillId="0" borderId="3" xfId="2" applyNumberFormat="1" applyFont="1" applyFill="1" applyBorder="1" applyAlignment="1" applyProtection="1">
      <alignment horizontal="center" vertical="center"/>
      <protection locked="0"/>
    </xf>
    <xf numFmtId="0" fontId="28" fillId="0" borderId="3" xfId="2" applyNumberFormat="1" applyFont="1" applyFill="1" applyBorder="1" applyAlignment="1" applyProtection="1">
      <alignment horizontal="center" vertical="center"/>
      <protection locked="0"/>
    </xf>
    <xf numFmtId="1" fontId="27" fillId="0" borderId="1" xfId="2" applyNumberFormat="1" applyFont="1" applyFill="1" applyBorder="1" applyAlignment="1" applyProtection="1">
      <alignment horizontal="center" vertical="center"/>
      <protection locked="0"/>
    </xf>
    <xf numFmtId="1" fontId="3" fillId="5" borderId="1" xfId="2" applyNumberFormat="1" applyFont="1" applyFill="1" applyBorder="1" applyAlignment="1" applyProtection="1">
      <alignment horizontal="center" vertical="center"/>
      <protection locked="0"/>
    </xf>
    <xf numFmtId="1" fontId="30" fillId="0" borderId="1" xfId="2" applyNumberFormat="1" applyFont="1" applyFill="1" applyBorder="1" applyAlignment="1" applyProtection="1">
      <alignment horizontal="center" vertical="center"/>
      <protection locked="0"/>
    </xf>
    <xf numFmtId="165" fontId="25" fillId="0" borderId="3" xfId="2" applyNumberFormat="1" applyFont="1" applyFill="1" applyBorder="1" applyAlignment="1" applyProtection="1">
      <alignment horizontal="center" vertical="center" wrapText="1"/>
      <protection locked="0"/>
    </xf>
    <xf numFmtId="165" fontId="27" fillId="0" borderId="1" xfId="2" applyNumberFormat="1" applyFont="1" applyFill="1" applyBorder="1" applyAlignment="1" applyProtection="1">
      <alignment horizontal="center" vertical="center" wrapText="1"/>
      <protection locked="0"/>
    </xf>
    <xf numFmtId="165" fontId="3" fillId="5" borderId="1" xfId="2" applyNumberFormat="1" applyFont="1" applyFill="1" applyBorder="1" applyAlignment="1" applyProtection="1">
      <alignment horizontal="center" vertical="center" wrapText="1"/>
      <protection locked="0"/>
    </xf>
    <xf numFmtId="165" fontId="30" fillId="0" borderId="1" xfId="2" applyNumberFormat="1" applyFont="1" applyFill="1" applyBorder="1" applyAlignment="1" applyProtection="1">
      <alignment horizontal="center" vertical="center" wrapText="1"/>
      <protection locked="0"/>
    </xf>
    <xf numFmtId="43" fontId="21" fillId="0" borderId="3" xfId="2" applyFont="1" applyFill="1" applyBorder="1" applyAlignment="1" applyProtection="1">
      <alignment horizontal="center" vertical="center" wrapText="1"/>
      <protection locked="0"/>
    </xf>
    <xf numFmtId="43" fontId="30" fillId="0" borderId="1" xfId="2" applyFont="1" applyFill="1" applyBorder="1" applyAlignment="1" applyProtection="1">
      <alignment horizontal="center" vertical="center" wrapText="1"/>
      <protection locked="0"/>
    </xf>
    <xf numFmtId="43" fontId="26" fillId="0" borderId="1" xfId="2" applyFont="1" applyFill="1" applyBorder="1" applyAlignment="1" applyProtection="1">
      <alignment horizontal="center" vertical="center" wrapText="1"/>
      <protection locked="0"/>
    </xf>
    <xf numFmtId="165" fontId="21" fillId="0" borderId="3" xfId="2" applyNumberFormat="1" applyFont="1" applyFill="1" applyBorder="1" applyAlignment="1" applyProtection="1">
      <alignment horizontal="center" vertical="center" wrapText="1"/>
      <protection locked="0"/>
    </xf>
    <xf numFmtId="165" fontId="26" fillId="0" borderId="1" xfId="2" applyNumberFormat="1" applyFont="1" applyFill="1" applyBorder="1" applyAlignment="1" applyProtection="1">
      <alignment horizontal="center" vertical="center" wrapText="1"/>
      <protection locked="0"/>
    </xf>
    <xf numFmtId="0" fontId="21" fillId="0" borderId="3" xfId="5" applyFont="1" applyBorder="1" applyAlignment="1" applyProtection="1">
      <alignment horizontal="center" vertical="center" wrapText="1"/>
      <protection locked="0"/>
    </xf>
    <xf numFmtId="0" fontId="25" fillId="0" borderId="3" xfId="5" applyFont="1" applyBorder="1" applyAlignment="1">
      <alignment horizontal="center" vertical="center" wrapText="1"/>
    </xf>
    <xf numFmtId="0" fontId="3" fillId="5" borderId="1" xfId="5" applyFont="1" applyFill="1" applyBorder="1" applyAlignment="1">
      <alignment horizontal="center" vertical="center" wrapText="1"/>
    </xf>
    <xf numFmtId="0" fontId="30" fillId="0" borderId="1" xfId="5" applyFont="1" applyBorder="1" applyAlignment="1">
      <alignment horizontal="center" vertical="center" wrapText="1"/>
    </xf>
    <xf numFmtId="0" fontId="31" fillId="5" borderId="1" xfId="5" applyFont="1" applyFill="1" applyBorder="1" applyAlignment="1" applyProtection="1">
      <alignment horizontal="center" vertical="center" wrapText="1"/>
      <protection locked="0"/>
    </xf>
    <xf numFmtId="0" fontId="17" fillId="0" borderId="1" xfId="5" applyFont="1" applyBorder="1" applyAlignment="1" applyProtection="1">
      <alignment horizontal="center" vertical="center" wrapText="1"/>
      <protection locked="0"/>
    </xf>
    <xf numFmtId="0" fontId="17" fillId="4" borderId="1" xfId="5" applyFont="1" applyFill="1" applyBorder="1" applyAlignment="1" applyProtection="1">
      <alignment horizontal="center" vertical="center" wrapText="1"/>
      <protection locked="0"/>
    </xf>
    <xf numFmtId="0" fontId="25" fillId="0" borderId="11" xfId="5" applyFont="1" applyBorder="1" applyAlignment="1" applyProtection="1">
      <alignment horizontal="center" vertical="center" wrapText="1"/>
      <protection locked="0"/>
    </xf>
    <xf numFmtId="0" fontId="31" fillId="0" borderId="6" xfId="5" applyFont="1" applyBorder="1" applyAlignment="1" applyProtection="1">
      <alignment horizontal="center" vertical="center" wrapText="1"/>
      <protection locked="0"/>
    </xf>
    <xf numFmtId="0" fontId="27" fillId="0" borderId="6" xfId="5" applyFont="1" applyBorder="1" applyAlignment="1" applyProtection="1">
      <alignment horizontal="center" vertical="center" wrapText="1"/>
      <protection locked="0"/>
    </xf>
    <xf numFmtId="0" fontId="3" fillId="5" borderId="6" xfId="5" applyFont="1" applyFill="1" applyBorder="1" applyAlignment="1" applyProtection="1">
      <alignment horizontal="center" vertical="center" wrapText="1"/>
      <protection locked="0"/>
    </xf>
    <xf numFmtId="0" fontId="30" fillId="0" borderId="6" xfId="5" applyFont="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14">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
      <fill>
        <patternFill patternType="solid">
          <fgColor rgb="FFF4B084"/>
          <bgColor rgb="FF000000"/>
        </patternFill>
      </fill>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00FFFF"/>
      <color rgb="FFFFFF99"/>
      <color rgb="FFFFCCFF"/>
      <color rgb="FFC3B6E2"/>
      <color rgb="FF00FF00"/>
      <color rgb="FF66FFCC"/>
      <color rgb="FFCCFF99"/>
      <color rgb="FF66FF66"/>
      <color rgb="FFFF81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34925</xdr:rowOff>
    </xdr:from>
    <xdr:to>
      <xdr:col>2</xdr:col>
      <xdr:colOff>1968500</xdr:colOff>
      <xdr:row>5</xdr:row>
      <xdr:rowOff>366347</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652691" y="1881310"/>
          <a:ext cx="3132886" cy="771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20.536243981478" createdVersion="8" refreshedVersion="8" minRefreshableVersion="3" recordCount="1101" xr:uid="{963952A6-24FA-4E89-8D3C-7932FF332492}">
  <cacheSource type="worksheet">
    <worksheetSource name="PAA"/>
  </cacheSource>
  <cacheFields count="28">
    <cacheField name="Id" numFmtId="0">
      <sharedItems containsSemiMixedTypes="0" containsString="0" containsNumber="1" containsInteger="1" minValue="20250001" maxValue="20251223"/>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MixedTypes="1" containsNumber="1" containsInteger="1" minValue="0" maxValue="12"/>
    </cacheField>
    <cacheField name="plazo ejec Meses" numFmtId="0">
      <sharedItems containsMixedTypes="1" containsNumber="1" minValue="0" maxValue="20"/>
    </cacheField>
    <cacheField name="mas plazo ejec Días (si aplica)" numFmtId="0">
      <sharedItems containsMixedTypes="1" containsNumber="1" containsInteger="1" minValue="0" maxValue="29"/>
    </cacheField>
    <cacheField name="Valor Programado" numFmtId="165">
      <sharedItems containsMixedTypes="1" containsNumber="1" minValue="0" maxValue="6850311197"/>
    </cacheField>
    <cacheField name="Fuente de Recursos" numFmtId="0">
      <sharedItems count="5">
        <s v="1-100-I087 VA-Sobretasa Bomberil"/>
        <s v="1-100-F001 VA-Recursos distrito"/>
        <s v="1-601-F001 PAS-Otros distrito"/>
        <s v="1-200-I079  RB-Sobretasa Bomberil"/>
        <s v="N/A"/>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ount="27">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120201002082823609    Uniformes de trabajo"/>
        <s v="O232020200883132 Servicios de soporte en tecnologías de la información (TI)"/>
        <s v="O232020200883159 Otros servicios de alojamiento y suministro de infraestructura en tecnología de la información (TI)"/>
        <s v="O2320202005040554590 Otros servicios especializados de la construcción"/>
        <s v="O232020200885330 Servicios de limpieza general"/>
        <s v=" O232020200883990 Otros servicios profesionales, técnicos y empresariales n.c.p. "/>
        <s v=" No Aplica "/>
        <s v="O232020200885250 Servicios de protección (guardas de seguridad)"/>
        <s v="O21202020080787130 Servicios de mantenimiento y reparación de computa"/>
        <s v="O21202020080484290 Otros servicios de telecomunicaciones vía Internet"/>
        <s v="O21202020080383141 Servicios de diseño y desarrollo de aplicaciones en tecnologías de la información (TI)"/>
        <s v="O2320201003063694012 Recipientes de material plástico-canecas para la basura"/>
        <s v="O2320201002072719002 Estandartes y banderas"/>
        <s v="O2320201003023262002 Carteles y avisos"/>
        <s v="O2320101004010102 Muebles del tipo utilizado en la oficina"/>
        <s v="O2320201003073722102 Utensilios de loza para mesa y la cocina"/>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1">
  <r>
    <n v="20250001"/>
    <x v="0"/>
    <s v="Oficina de Control Interno"/>
    <s v="Jaime Hernando Arias Patiño"/>
    <s v="Prestar los servicios profesionales  como abogado en la Oficina de Control Interno para el desarrollo del Plan Anual de Auditorías."/>
    <s v="25 - contrato de prestacion de servicios profesionales"/>
    <n v="80111600"/>
    <s v="1"/>
    <n v="10"/>
    <n v="0"/>
    <n v="766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2"/>
    <x v="0"/>
    <s v="Oficina de Control Interno"/>
    <s v="Jaime Hernando Arias Patiño"/>
    <s v="Prestar los servicios profesionales como contador publico en la Oficina de Control Interno para el desarrollo del Plan Anual de Auditorías."/>
    <s v="25 - contrato de prestacion de servicios profesionales"/>
    <n v="80111600"/>
    <n v="1"/>
    <n v="10"/>
    <n v="0"/>
    <n v="766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3"/>
    <x v="0"/>
    <s v="Oficina de Control Interno"/>
    <s v="Jaime Hernando Arias Patiño"/>
    <s v="Prestar los servicios profesionales  en la Oficina de Control Interno para el desarrollo del Plan Anual de Auditorías."/>
    <s v="25 - contrato de prestacion de servicios profesionales"/>
    <n v="80111600"/>
    <n v="2"/>
    <n v="7"/>
    <n v="11"/>
    <n v="56465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4"/>
    <x v="0"/>
    <s v="Oficina de Control Interno"/>
    <s v="Jaime Hernando Arias Patiño"/>
    <s v="Prestar los servicios profesionales  en la Oficina de Control Interno para el desarrollo del Plan Anual de Auditorías."/>
    <s v="25 - contrato de prestacion de servicios profesionales"/>
    <n v="80111600"/>
    <n v="1"/>
    <n v="10"/>
    <n v="0"/>
    <n v="4628582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5"/>
    <x v="0"/>
    <s v="Oficina de Control Interno"/>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6"/>
    <x v="0"/>
    <s v="Oficina Juridica"/>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07"/>
    <x v="0"/>
    <s v="Oficina Juridica"/>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08"/>
    <x v="0"/>
    <s v="Oficina Juridica"/>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09"/>
    <x v="0"/>
    <s v="Oficina Juridica"/>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10"/>
    <x v="0"/>
    <s v="Oficina Juridica"/>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11"/>
    <x v="0"/>
    <s v="Oficina Juridica"/>
    <s v="Monica Perez Barragan"/>
    <s v="Prestar los servicios profesionales jurídicos especializados para apoyar el desarrollo de las funciones de la Oficina Jurídica"/>
    <s v="25 - contrato de prestacion de servicios profesionales"/>
    <n v="80111600"/>
    <n v="2"/>
    <n v="11"/>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2"/>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3"/>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4"/>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5"/>
    <x v="0"/>
    <s v="Oficina Juridica"/>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6"/>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7"/>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8"/>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19"/>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0"/>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1"/>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2"/>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3"/>
    <x v="0"/>
    <s v="Oficina Juridica"/>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4"/>
    <x v="0"/>
    <s v="Oficina Juridica"/>
    <s v="Monica Perez Barragan"/>
    <s v="Prestar los servicios profesionales especializados para la representación judicial  de la Entidad y la prevención del daño antijurídico."/>
    <s v="25 - contrato de prestacion de servicios profesionales"/>
    <n v="80111600"/>
    <n v="2"/>
    <n v="11"/>
    <n v="0"/>
    <n v="283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25"/>
    <x v="0"/>
    <s v="Oficina Juridica"/>
    <s v="Monica Perez Barragan"/>
    <s v="Prestar los servicios de apoyo para las gestiones administrativas requeridas en la Oficina Jurídica."/>
    <s v="25 - contrato de prestacion de servicios profesionales"/>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7"/>
    <x v="0"/>
    <s v="Oficina Juridica"/>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8"/>
    <x v="0"/>
    <s v="Oficina Juridica"/>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29"/>
    <x v="0"/>
    <s v="Oficina Juridica"/>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30"/>
    <x v="0"/>
    <s v="Oficina Juridica"/>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1"/>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32"/>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33"/>
    <x v="0"/>
    <s v="Oficina Juridica"/>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4"/>
    <x v="0"/>
    <s v="Oficina Juridica"/>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5"/>
    <x v="0"/>
    <s v="Oficina de Control Disciplinario Interno"/>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6"/>
    <x v="0"/>
    <s v="Oficina de Control Disciplinario Interno"/>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7"/>
    <x v="0"/>
    <s v="Oficina de Control Disciplinario Interno"/>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8"/>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39"/>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0"/>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1"/>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2"/>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1949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3"/>
    <x v="0"/>
    <s v="Oficina de Control Disciplinario Interno"/>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4"/>
    <x v="0"/>
    <s v="Oficina de Control Disciplinario Interno"/>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45"/>
    <x v="0"/>
    <s v="Oficina de Control Disciplinario Interno"/>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46"/>
    <x v="0"/>
    <s v="Oficina Asesora de Planeación"/>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47"/>
    <x v="0"/>
    <s v="Oficina Asesora de Planeación"/>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48"/>
    <x v="0"/>
    <s v="Oficina Asesora de Planeación"/>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49"/>
    <x v="0"/>
    <s v="Oficina Asesora de Planeación"/>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0"/>
    <x v="0"/>
    <s v="Oficina Asesora de Planeación"/>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1"/>
    <x v="0"/>
    <s v="Oficina Asesora de Planeación"/>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2"/>
    <x v="0"/>
    <s v="Oficina Asesora de Planeación"/>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53"/>
    <x v="0"/>
    <s v="Oficina Asesora de Planeación"/>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4"/>
    <x v="0"/>
    <s v="Oficina Asesora de Planeación"/>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5"/>
    <x v="0"/>
    <s v="Oficina Asesora de Planeación"/>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56"/>
    <x v="0"/>
    <s v="Oficina Asesora de Planeación"/>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057"/>
    <x v="0"/>
    <s v="Oficina Asesora de Planeación"/>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58"/>
    <x v="0"/>
    <s v="Oficina Asesora de Planeación"/>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1"/>
    <s v="Si Secop "/>
  </r>
  <r>
    <n v="20250059"/>
    <x v="0"/>
    <s v="Oficina Asesora de Planeación"/>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0"/>
    <x v="0"/>
    <s v="Oficina Asesora de Planeación"/>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1"/>
    <x v="0"/>
    <s v="Oficina Asesora de Planeación"/>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2"/>
    <x v="0"/>
    <s v="Oficina Asesora de Planeación"/>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3"/>
    <x v="0"/>
    <s v="Oficina Asesora de Planeación"/>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4"/>
    <x v="0"/>
    <s v="Oficina Asesora de Planeación"/>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5"/>
    <x v="0"/>
    <s v="Oficina Asesora de Planeación"/>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067"/>
    <x v="0"/>
    <s v="Dirección"/>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68"/>
    <x v="0"/>
    <s v="Dirección"/>
    <s v="Paula Ximena Henao Escobar"/>
    <s v="Prestar servicios profesionales jurídicos en la Dirección General de la UAECOB en la revisión, gestión y seguimiento de temas a cargo de la dirección, contratación y estratégicos de la misionalidad de la Entidad"/>
    <s v="25 - contrato de prestacion de servicios profesionales"/>
    <n v="80111600"/>
    <n v="10"/>
    <n v="3"/>
    <n v="0"/>
    <n v="2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69"/>
    <x v="0"/>
    <s v="Dirección"/>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0"/>
    <x v="0"/>
    <s v="Dirección"/>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1"/>
    <x v="0"/>
    <s v="Dirección"/>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72"/>
    <x v="0"/>
    <s v="Dirección"/>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3"/>
    <x v="0"/>
    <s v="Dirección"/>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4"/>
    <x v="0"/>
    <s v="Dirección"/>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5"/>
    <x v="0"/>
    <s v="Dirección"/>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76"/>
    <x v="0"/>
    <s v="Dirección comunicaciones y Prensa"/>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77"/>
    <x v="0"/>
    <s v="Dirección comunicaciones y Prensa"/>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78"/>
    <x v="0"/>
    <s v="Dirección comunicaciones y Prensa"/>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79"/>
    <x v="0"/>
    <s v="Dirección comunicaciones y Prensa"/>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0"/>
    <x v="0"/>
    <s v="Dirección comunicaciones y Prensa"/>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1"/>
    <x v="0"/>
    <s v="Dirección comunicaciones y Prensa"/>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2"/>
    <x v="0"/>
    <s v="Dirección"/>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83"/>
    <x v="0"/>
    <s v="Dirección comunicaciones y Prensa"/>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4"/>
    <x v="0"/>
    <s v="Dirección comunicaciones y Prensa"/>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5"/>
    <x v="0"/>
    <s v="Dirección comunicaciones y Prensa"/>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6"/>
    <x v="0"/>
    <s v="Dirección comunicaciones y Prensa"/>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7"/>
    <x v="0"/>
    <s v="Dirección comunicaciones y Prensa"/>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8"/>
    <x v="0"/>
    <s v="Dirección comunicaciones y Prensa"/>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89"/>
    <x v="0"/>
    <s v="Dirección comunicaciones y Prensa"/>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90"/>
    <x v="0"/>
    <s v="Dirección comunicaciones y Prensa"/>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91"/>
    <x v="0"/>
    <s v="Dirección comunicaciones y Prensa"/>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92"/>
    <x v="0"/>
    <s v="Dirección comunicaciones y Prensa"/>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93"/>
    <x v="0"/>
    <s v="Dirección"/>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3978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94"/>
    <x v="0"/>
    <s v="Dirección comunicaciones y Prensa"/>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095"/>
    <x v="0"/>
    <s v="Dirección"/>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096"/>
    <x v="0"/>
    <s v="Dirección"/>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097"/>
    <x v="1"/>
    <s v="Sub. Gestión Humana"/>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098"/>
    <x v="1"/>
    <s v="Sub. Gestión Humana"/>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099"/>
    <x v="1"/>
    <s v="Sub. Gestión Humana"/>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100"/>
    <x v="1"/>
    <s v="Sub. Gestión Humana"/>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101"/>
    <x v="1"/>
    <s v="Sub. Gestión Humana"/>
    <s v="Jose Andres Ponce Caicedo"/>
    <s v="SGH - Prestar servicios profesionales en la Subdirección de Gestión Humana, para el fortalecimiento transversal del proceso de Academi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2"/>
    <x v="1"/>
    <s v="Sub. Gestión Humana"/>
    <s v="Jose Andres Ponce Caicedo"/>
    <s v="SGH - Prestar sus servicios profesionales en los procesos de la Subdirección de Gestión Humana de la UAE Cuerpo Oficial de Bomberos."/>
    <s v="25 - contrato de prestacion de servicios profesionales"/>
    <n v="80111600"/>
    <n v="3"/>
    <n v="10"/>
    <n v="0"/>
    <n v="4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3"/>
    <x v="1"/>
    <s v="Sub. Gestión Humana"/>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4"/>
    <x v="1"/>
    <s v="Sub. Gestión Humana"/>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5"/>
    <x v="1"/>
    <s v="Sub. Gestión Humana"/>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6"/>
    <x v="1"/>
    <s v="Sub. Gestión Humana"/>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7"/>
    <x v="1"/>
    <s v="Sub. Gestión Humana"/>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8"/>
    <x v="1"/>
    <s v="Sub. Gestión Humana"/>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09"/>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0"/>
    <x v="1"/>
    <s v="Sub. Gestión Humana"/>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1"/>
    <x v="1"/>
    <s v="Sub. Gestión Humana"/>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2"/>
    <x v="1"/>
    <s v="Sub. Gestión Humana"/>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3"/>
    <x v="1"/>
    <s v="Sub. Gestión Humana"/>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5"/>
    <x v="1"/>
    <s v="Sub. Gestión Humana"/>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6"/>
    <x v="1"/>
    <s v="Sub. Gestión Humana"/>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7"/>
    <x v="1"/>
    <s v="Sub. Gestión Humana"/>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8"/>
    <x v="1"/>
    <s v="Sub. Gestión Humana"/>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19"/>
    <x v="1"/>
    <s v="Sub. Gestión Humana"/>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1"/>
    <x v="1"/>
    <s v="Sub. Gestión Humana"/>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2"/>
    <x v="1"/>
    <s v="Sub. Gestión Humana"/>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3"/>
    <x v="1"/>
    <s v="Sub. Gestión Humana"/>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4"/>
    <x v="1"/>
    <s v="Sub. Gestión Humana"/>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125"/>
    <x v="1"/>
    <s v="Sub. Gestión Humana"/>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6"/>
    <x v="1"/>
    <s v="Sub. Gestión Humana"/>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7"/>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8"/>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29"/>
    <x v="1"/>
    <s v="Sub. Gestión Humana"/>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4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130"/>
    <x v="1"/>
    <s v="Sub. Gestión Humana"/>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2"/>
    <x v="1"/>
    <s v="Sub. Gestión Humana"/>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3"/>
    <x v="1"/>
    <s v="Sub. Gestión Humana"/>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5"/>
    <x v="1"/>
    <s v="Sub. Gestión Humana"/>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2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6"/>
    <x v="1"/>
    <s v="Sub. Gestión Humana"/>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8"/>
    <x v="1"/>
    <s v="Sub. Gestión Humana"/>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39"/>
    <x v="1"/>
    <s v="Sub. Gestión Humana"/>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2"/>
    <x v="1"/>
    <s v="Sub. Gestión Humana"/>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187868635"/>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3"/>
    <x v="1"/>
    <s v="Sub. Gestión Humana"/>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16618999"/>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6"/>
    <x v="1"/>
    <s v="Sub. Gestión Humana"/>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36317435"/>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7"/>
    <x v="1"/>
    <s v="Sub. Gestión Humana"/>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238811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8"/>
    <x v="1"/>
    <s v="Sub. Gestión Humana"/>
    <s v="Jose Andres Ponce Caicedo"/>
    <s v="Adición y prórroga al contrato 565-2025 cuyo objeto es: &quo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quot;"/>
    <s v="08 - contrato de suministro"/>
    <s v="72121100, 24101600, 30131500, 31371300, 30101500, 30101700, 30103600, 95121633, 30103619, 73121600, 73121500, 30101704, 30101504"/>
    <n v="4"/>
    <n v="4"/>
    <n v="0"/>
    <n v="110000000"/>
    <x v="0"/>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49"/>
    <x v="1"/>
    <s v="Sub. Gestión Humana"/>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50"/>
    <x v="1"/>
    <s v="Sub. Gestión Humana"/>
    <s v="Jose Andres Ponce Caicedo"/>
    <s v="SGH - Garantizar los Recursos para movilización del Personal para emergencias"/>
    <s v="12 - resolucion"/>
    <n v="90121800"/>
    <n v="2"/>
    <n v="11"/>
    <n v="0"/>
    <n v="588087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51"/>
    <x v="1"/>
    <s v="Sub. Gestión Humana"/>
    <s v="Jose Andres Ponce Caicedo"/>
    <s v="SGH - Garantizar los recursos para viáticos y tiquetes del personal"/>
    <s v="12 - resolucion"/>
    <n v="90121800"/>
    <n v="2"/>
    <n v="11"/>
    <n v="0"/>
    <n v="291291891"/>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152"/>
    <x v="2"/>
    <s v="Sub. Gestión Humana"/>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s v="No aplica"/>
    <s v="NA"/>
    <s v="NA"/>
    <s v="NA"/>
    <s v="N/A"/>
    <s v="N/A"/>
    <s v="N/A-N/A"/>
    <s v="N/A"/>
    <s v="N/A"/>
    <s v="N/A_N/A"/>
    <s v="N/A-N/A N/A_N/A"/>
    <s v="NANANAN/AN/A"/>
    <s v="N/A"/>
    <x v="2"/>
    <s v="Si Secop "/>
  </r>
  <r>
    <n v="20250153"/>
    <x v="2"/>
    <s v="Sub. Gestión Humana"/>
    <s v="Jose Andres Ponce Caicedo"/>
    <s v="INCENTIVOS"/>
    <s v="12 - resolucion"/>
    <s v="N/A"/>
    <n v="9"/>
    <n v="9"/>
    <n v="0"/>
    <n v="179741000"/>
    <x v="1"/>
    <s v="91 - n/a acto administrativo (resolución, decreto, acuerdo, etc.)"/>
    <s v="No aplica"/>
    <s v="NA"/>
    <s v="NA"/>
    <s v="NA"/>
    <s v="N/A"/>
    <s v="N/A"/>
    <s v="N/A-N/A"/>
    <s v="N/A"/>
    <s v="N/A"/>
    <s v="N/A_N/A"/>
    <s v="N/A-N/A N/A_N/A"/>
    <s v="NANANAN/AN/A"/>
    <s v="N/A"/>
    <x v="2"/>
    <s v="Si Secop "/>
  </r>
  <r>
    <n v="20250154"/>
    <x v="2"/>
    <s v="Sub. Gestión Humana"/>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s v="No aplica"/>
    <s v="NA"/>
    <s v="NA"/>
    <s v="NA"/>
    <s v="N/A"/>
    <s v="N/A"/>
    <s v="N/A-N/A"/>
    <s v="N/A"/>
    <s v="N/A"/>
    <s v="N/A_N/A"/>
    <s v="N/A-N/A N/A_N/A"/>
    <s v="NANANAN/AN/A"/>
    <s v="N/A"/>
    <x v="2"/>
    <s v="Si Secop "/>
  </r>
  <r>
    <n v="20250156"/>
    <x v="1"/>
    <s v="Sub. Logística"/>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57"/>
    <x v="1"/>
    <s v="Sub. Logística"/>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58"/>
    <x v="1"/>
    <s v="Sub. Logística"/>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4"/>
    <s v="Si Secop "/>
  </r>
  <r>
    <n v="20250159"/>
    <x v="1"/>
    <s v="Sub. Logística"/>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5"/>
    <s v="Si Secop "/>
  </r>
  <r>
    <n v="20250160"/>
    <x v="1"/>
    <s v="Sub. Logística"/>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6"/>
    <s v="Si Secop "/>
  </r>
  <r>
    <n v="20250161"/>
    <x v="1"/>
    <s v="Sub. Logística"/>
    <s v="Omer Mauricio Rivera Ruiz"/>
    <s v="Suministrar combustible para los vehículos, y equipos especializados de la U.A.E. Cuerpo Oficial de Bomberos Bogotá dentro y fuera del perímetro del distrito capital de la  - SBLG"/>
    <s v="08 - contrato de suministro"/>
    <n v="15101500"/>
    <n v="8"/>
    <n v="7"/>
    <n v="0"/>
    <n v="850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7"/>
    <s v="Si Secop "/>
  </r>
  <r>
    <n v="20250162"/>
    <x v="1"/>
    <s v="Sub. Logística"/>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8"/>
    <s v="Si Secop "/>
  </r>
  <r>
    <n v="20250163"/>
    <x v="1"/>
    <s v="Sub. Logística"/>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6"/>
    <n v="0"/>
    <n v="4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64"/>
    <x v="1"/>
    <s v="Sub. Logística"/>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65"/>
    <x v="1"/>
    <s v="Sub. Logística"/>
    <s v="Omer Mauricio Rivera Ruiz"/>
    <s v="Mantenimiento correctivo y preventivo de los equipos menores con suministro, repuestos, accesorios e insumos de propiedad de la UAECOB. – SBLG "/>
    <s v="03 - contrato de prestacion de servicios"/>
    <s v="31261500; 31161500; 31161600; 31162300; 31162800; 31171500; 31171700; 39121600; 27121600;72101509; 26101700: 26101900; 15121500; 72101517; 72151511; 72154105 72154302; 73152108; 73152112"/>
    <n v="8"/>
    <n v="7"/>
    <n v="0"/>
    <n v="125000000"/>
    <x v="0"/>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66"/>
    <x v="1"/>
    <s v="Sub. Logística"/>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8"/>
    <s v="Si Secop "/>
  </r>
  <r>
    <n v="20250167"/>
    <x v="1"/>
    <s v="Sub. Logística"/>
    <s v="Omer Mauricio Rivera Ruiz"/>
    <s v="Adquisición de concentrado de espuma, mantenimiento y recarga de extintores, cilindros y tanques de las maquinas extintoras de la UAECOB.   LOTE I Y LOTE II - SBLG"/>
    <s v="06 - contrato de compraventa"/>
    <n v="46191600"/>
    <n v="9"/>
    <n v="4"/>
    <n v="0"/>
    <n v="30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3"/>
    <s v="Si Secop "/>
  </r>
  <r>
    <n v="20250168"/>
    <x v="1"/>
    <s v="Sub. Logística"/>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69"/>
    <x v="1"/>
    <s v="Sub. Logística"/>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70"/>
    <x v="1"/>
    <s v="Sub. Logística"/>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0171"/>
    <x v="1"/>
    <s v="Sub. Logística"/>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9"/>
    <s v="Si Secop "/>
  </r>
  <r>
    <n v="20250174"/>
    <x v="1"/>
    <s v="Sub. Logística"/>
    <s v="Omer Mauricio Rivera Ruiz"/>
    <s v="Prestación de servicios de apoyo a la gestión en el proceso de mantenimiento del equipo menor a cargo de la Subdirección Logística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175"/>
    <x v="1"/>
    <s v="Sub. Logística"/>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4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76"/>
    <x v="1"/>
    <s v="Sub. Logística"/>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6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1"/>
    <s v="Si Secop "/>
  </r>
  <r>
    <n v="20250177"/>
    <x v="1"/>
    <s v="Sub. Logística"/>
    <s v="Omer Mauricio Rivera Ruiz"/>
    <s v="Prestar servicios de apoyo a la gestión en actividades administrativas y documentales que se desarrollen en la Subdirección Logística – SBLG."/>
    <s v="26 - contrato de prestacion de servicios de apoyo a la gestion"/>
    <n v="80111600"/>
    <n v="2"/>
    <n v="10"/>
    <n v="0"/>
    <n v="3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78"/>
    <x v="1"/>
    <s v="Sub. Logística"/>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79"/>
    <x v="1"/>
    <s v="Sub. Logística"/>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0"/>
    <x v="1"/>
    <s v="Sub. Logística"/>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1"/>
    <x v="1"/>
    <s v="Sub. Logística"/>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2"/>
    <x v="1"/>
    <s v="Sub. Logística"/>
    <s v="Omer Mauricio Rivera Ruiz"/>
    <s v="Prestación de servicios de apoyo a la gestión en el proceso de mantenimiento del equipo menor a cargo de la Subdirección Logística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183"/>
    <x v="1"/>
    <s v="Sub. Logística"/>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4"/>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5"/>
    <x v="1"/>
    <s v="Sub. Logística"/>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6"/>
    <x v="1"/>
    <s v="Sub. Logística"/>
    <s v="Omer Mauricio Rivera Ruiz"/>
    <s v="Prestar servicios profesionales para apoyar en los diferentes procesos de planeación,  administrativos e inventario de la Subdirección Logística – SBLG. "/>
    <s v="25 - contrato de prestacion de servicios profesionales"/>
    <n v="80111600"/>
    <n v="2"/>
    <n v="10"/>
    <n v="0"/>
    <n v="4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7"/>
    <x v="1"/>
    <s v="Sub. Logística"/>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88"/>
    <x v="1"/>
    <s v="Sub. Logística"/>
    <s v="Omer Mauricio Rivera Ruiz"/>
    <s v="Prestar  servicios de apoyo a la gestión en_x000a_actividades Técnicas, administrativas y documentales de la_x000a_Subdirección Logística - SBLG"/>
    <s v="26 - contrato de prestacion de servicios de apoyo a la gestion"/>
    <n v="80111600"/>
    <n v="2"/>
    <n v="9"/>
    <n v="0"/>
    <n v="2624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189"/>
    <x v="1"/>
    <s v="Sub. Logística"/>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0"/>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1"/>
    <x v="1"/>
    <s v="Sub. Logística"/>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2"/>
    <x v="1"/>
    <s v="Sub. Logística"/>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3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193"/>
    <x v="1"/>
    <s v="Sub. Logística"/>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5"/>
    <x v="1"/>
    <s v="Sub. Logística"/>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229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1"/>
    <s v="Si Secop "/>
  </r>
  <r>
    <n v="20250196"/>
    <x v="1"/>
    <s v="Sub. Logística"/>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38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7"/>
    <x v="1"/>
    <s v="Sub. Logística"/>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198"/>
    <x v="1"/>
    <s v="Sub. Logística"/>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765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199"/>
    <x v="1"/>
    <s v="Sub. Logística"/>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0"/>
    <x v="1"/>
    <s v="Sub. Logística"/>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2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1"/>
    <x v="1"/>
    <s v="Sub. Logística"/>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2"/>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3"/>
    <x v="1"/>
    <s v="Sub. Logística"/>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204"/>
    <x v="1"/>
    <s v="Sub. Logística"/>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5"/>
    <x v="1"/>
    <s v="Sub. Logística"/>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0992444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6"/>
    <x v="1"/>
    <s v="Sub. Logística"/>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7"/>
    <x v="1"/>
    <s v="Sub. Logística"/>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8"/>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09"/>
    <x v="1"/>
    <s v="Sub. Logística"/>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0"/>
    <x v="1"/>
    <s v="Sub. Logística"/>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1"/>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1563333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2"/>
    <x v="1"/>
    <s v="Sub. Logística"/>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3"/>
    <x v="1"/>
    <s v="Sub. Logística"/>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Si Secop "/>
  </r>
  <r>
    <n v="20250214"/>
    <x v="1"/>
    <s v="Sub. Logística"/>
    <s v="Omer Mauricio Rivera Ruiz"/>
    <s v="Prestar servicios profesionales en las actividades administrativas y financieras que requieran los procesos de la Subdirección Logística- SBLG"/>
    <s v="25 - contrato de prestacion de servicios profesionales"/>
    <n v="80111600"/>
    <n v="2"/>
    <n v="9"/>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5"/>
    <x v="1"/>
    <s v="Sub. Logística"/>
    <s v="Omer Mauricio Rivera Ruiz"/>
    <s v="Prestar los servicios profesionales para la gestión, financiera de los proyectos y procesos de la Subdirección - SBLG."/>
    <s v="25 - contrato de prestacion de servicios profesionales"/>
    <n v="80111600"/>
    <n v="2"/>
    <n v="10"/>
    <n v="0"/>
    <n v="16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6"/>
    <x v="1"/>
    <s v="Sub. Logística"/>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22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18"/>
    <x v="1"/>
    <s v="Sub. Logística"/>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20"/>
    <x v="1"/>
    <s v="Sub. Logística"/>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70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21"/>
    <x v="1"/>
    <s v="Sub. Logística"/>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825952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22"/>
    <x v="1"/>
    <s v="Sub. Logística"/>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223"/>
    <x v="2"/>
    <s v="Sub. Logística"/>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5172621"/>
    <x v="1"/>
    <s v="04 - contratación mínima cuantía"/>
    <s v="No aplica"/>
    <s v="NA"/>
    <s v="NA"/>
    <s v="NA"/>
    <s v="N/A"/>
    <s v="N/A"/>
    <s v="N/A-N/A"/>
    <s v="N/A"/>
    <s v="N/A"/>
    <s v="N/A_N/A"/>
    <s v="N/A-N/A N/A_N/A"/>
    <s v="NANANAN/AN/A"/>
    <s v="N/A"/>
    <x v="10"/>
    <s v="Si Secop "/>
  </r>
  <r>
    <n v="20250224"/>
    <x v="1"/>
    <s v="Sub. Gestión Riesgos"/>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6756685"/>
    <x v="0"/>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25"/>
    <x v="1"/>
    <s v="Sub. Gestión Riesgos"/>
    <s v="William Tovar Segura"/>
    <s v="Adquisición de insumos para la administración de emergencia_SGR"/>
    <s v="06 - contrato de compraventa"/>
    <s v="53121502_x000a_24112411_x000a_24112412_x000a_24112401_x000a_24112902"/>
    <n v="1"/>
    <n v="3"/>
    <n v="0"/>
    <n v="33000000"/>
    <x v="0"/>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26"/>
    <x v="1"/>
    <s v="Sub. Gestión Riesgos"/>
    <s v="William Tovar Segura"/>
    <s v="Prestar servicios profesionales a la Subdirección de Gestión del Riesgo liderando las actividades del proceso de inspecciones técnicas del Riesgo._SGR"/>
    <s v="25 - contrato de prestacion de servicios profesionales"/>
    <n v="80111600"/>
    <n v="1"/>
    <n v="10"/>
    <n v="0"/>
    <n v="637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29"/>
    <x v="1"/>
    <s v="Sub. Gestión Riesgos"/>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3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30"/>
    <x v="1"/>
    <s v="Sub. Gestión Riesgos"/>
    <s v="William Tovar Segura"/>
    <s v="Prestar servicios profesionales en las actividades de planeación y gestión de la Subdirección de gestión del Riesgo_SGR"/>
    <s v="25 - contrato de prestacion de servicios profesionales"/>
    <n v="80111600"/>
    <n v="1"/>
    <n v="10"/>
    <n v="0"/>
    <n v="4186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31"/>
    <x v="1"/>
    <s v="Sub. Gestión Riesgos"/>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32"/>
    <x v="1"/>
    <s v="Sub. Gestión Riesgos"/>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1"/>
    <s v="Si Secop "/>
  </r>
  <r>
    <n v="20250233"/>
    <x v="1"/>
    <s v="Sub. Gestión Riesgos"/>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34"/>
    <x v="1"/>
    <s v="Sub. Gestión Riesgos"/>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1"/>
    <s v="Si Secop "/>
  </r>
  <r>
    <n v="20250235"/>
    <x v="1"/>
    <s v="Sub. Gestión Riesgos"/>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36"/>
    <x v="1"/>
    <s v="Sub. Gestión Riesgos"/>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37"/>
    <x v="1"/>
    <s v="Sub. Gestión Riesgos"/>
    <s v="William Tovar Segura"/>
    <s v="Prestar servicios profesionales para el desarrollo de actividades de planeación y gest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38"/>
    <x v="1"/>
    <s v="Sub. Gestión Riesgos"/>
    <s v="William Tovar Segura"/>
    <s v="Prestar servicios de apoyo a la gestión como conductor en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39"/>
    <x v="1"/>
    <s v="Sub. Gestión Riesgos"/>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40"/>
    <x v="1"/>
    <s v="Sub. Gestión Riesgos"/>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1"/>
    <x v="1"/>
    <s v="Sub. Gestión Riesgos"/>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2"/>
    <x v="1"/>
    <s v="Sub. Gestión Riesgos"/>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3"/>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44"/>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45"/>
    <x v="1"/>
    <s v="Sub. Gestión Riesgos"/>
    <s v="William Tovar Segura"/>
    <s v="Prestar  servicios profesionales en las actividades de proyeccion e innovacion para la Subdirección de Gestión del Riesgo._SGR"/>
    <s v="25 - contrato de prestacion de servicios profesionales"/>
    <n v="80111600"/>
    <n v="1"/>
    <n v="10"/>
    <n v="0"/>
    <n v="42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6"/>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49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7"/>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385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8"/>
    <x v="1"/>
    <s v="Sub. Gestión Riesgos"/>
    <s v="William Tovar Segura"/>
    <s v="Prestar servicio de apoyo en las actividades de identificación de escenarios a cargo de la Subdirección de Gestión del Riesgo._SGR"/>
    <s v="26 - contrato de prestacion de servicios de apoyo a la gestion"/>
    <n v="80111600"/>
    <n v="1"/>
    <n v="10"/>
    <n v="0"/>
    <n v="144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49"/>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50"/>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308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51"/>
    <x v="1"/>
    <s v="Sub. Gestión Riesgos"/>
    <s v="William Tovar Segura"/>
    <s v="prestar servicios profesionales liderando las actividades de caracterización de escenarios y monitoreo de gestión del riesgo.SGR"/>
    <s v="25 - contrato de prestacion de servicios profesionales"/>
    <n v="80111600"/>
    <n v="1"/>
    <n v="10"/>
    <n v="0"/>
    <n v="637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52"/>
    <x v="1"/>
    <s v="Sub. Gestión Riesgos"/>
    <s v="William Tovar Segura"/>
    <s v="Prestar servicios profesionales en las actividades de monitoreo del riesgo para la Subdirección de Gestión del Riesgo._SGR"/>
    <s v="25 - contrato de prestacion de servicios profesionales"/>
    <n v="80111600"/>
    <n v="1"/>
    <n v="10"/>
    <n v="0"/>
    <n v="42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53"/>
    <x v="1"/>
    <s v="Sub. Gestión Riesgos"/>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54"/>
    <x v="1"/>
    <s v="Sub. Gestión Riesgos"/>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59"/>
    <x v="1"/>
    <s v="Sub. Gestión Riesgos"/>
    <s v="William Tovar Segura"/>
    <s v="Prestar servicios de apoyo a la gestion en las actividades de monitoreo del riesgo para la Subdirección de Gestión del Riesgo._SGR"/>
    <s v="26 - contrato de prestacion de servicios de apoyo a la gestion"/>
    <n v="80111600"/>
    <n v="1"/>
    <n v="10"/>
    <n v="0"/>
    <n v="28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260"/>
    <x v="1"/>
    <s v="Sub. Gestión Riesgos"/>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1"/>
    <x v="1"/>
    <s v="Sub. Gestión Riesgos"/>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2"/>
    <x v="1"/>
    <s v="Sub. Gestión Riesgos"/>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3"/>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24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4"/>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5"/>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84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6"/>
    <x v="1"/>
    <s v="Sub. Gestión Riesgos"/>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67"/>
    <x v="1"/>
    <s v="Sub. Gestión Riesgos"/>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68"/>
    <x v="1"/>
    <s v="Sub. Gestión Riesgos"/>
    <s v="William Tovar Segura"/>
    <s v="Adquisición de elementos de identificación institucional para el programa comunitario de prevención de incendios forestales_SGR."/>
    <s v="08 - contrato de suministro"/>
    <s v="53103100_x000a_53102500"/>
    <n v="6"/>
    <n v="2"/>
    <n v="0"/>
    <n v="17430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69"/>
    <x v="1"/>
    <s v="Sub. Gestión Riesgos"/>
    <s v="William Tovar Segura"/>
    <s v="Prestar servicios profesionales para la gestión de la SGR, en su compomente técnico, administrativo y análisis financier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270"/>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1"/>
    <x v="1"/>
    <s v="Sub. Gestión Riesgos"/>
    <s v="William Tovar Segura"/>
    <s v="Prestar servicios profesionales para realizar las actividda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2"/>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21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3"/>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4"/>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5"/>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6"/>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7"/>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8"/>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79"/>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0"/>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5466667"/>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1"/>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2"/>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3"/>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4"/>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5"/>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6"/>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288"/>
    <x v="1"/>
    <s v="Sub. Gestión Riesgos"/>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90"/>
    <x v="1"/>
    <s v="Sub. Gestión Riesgos"/>
    <s v="William Tovar Segura"/>
    <s v="Prestar servicios profesionales en los procesos de formacion y capacitacion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293"/>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294"/>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295"/>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296"/>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297"/>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298"/>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0"/>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1"/>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2"/>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3"/>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4"/>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5"/>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6"/>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7"/>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8"/>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09"/>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0"/>
    <x v="1"/>
    <s v="Sub. Operativa"/>
    <s v="Yenire Yohansy Lozano Ascanio"/>
    <s v="Prestación de servicios para apoyar  la gestión administrativa y documental requerida a cargo de la Subdirección Operativa  S.O."/>
    <s v="26 - contrato de prestacion de servicios de apoyo a la gestion"/>
    <n v="80111600"/>
    <n v="2"/>
    <n v="7"/>
    <n v="0"/>
    <n v="22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1"/>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2"/>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3"/>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4"/>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5"/>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6"/>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7"/>
    <x v="1"/>
    <s v="Sub. Operativa"/>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8"/>
    <x v="1"/>
    <s v="Sub. Operativa"/>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19"/>
    <x v="1"/>
    <s v="Sub. Operativa"/>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0"/>
    <x v="1"/>
    <s v="Sub. Operativa"/>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2"/>
    <x v="1"/>
    <s v="Sub. Operativa"/>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3"/>
    <x v="1"/>
    <s v="Sub. Operativa"/>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4"/>
    <x v="1"/>
    <s v="Sub. Operativa"/>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5"/>
    <x v="1"/>
    <s v="Sub. Operativa"/>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6"/>
    <x v="1"/>
    <s v="Sub. Operativa"/>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7"/>
    <x v="1"/>
    <s v="Sub. Operativa"/>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8"/>
    <x v="1"/>
    <s v="Sub. Operativa"/>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29"/>
    <x v="1"/>
    <s v="Sub. Operativa"/>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0"/>
    <x v="1"/>
    <s v="Sub. Operativa"/>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1"/>
    <x v="1"/>
    <s v="Sub. Operativa"/>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483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2"/>
    <x v="1"/>
    <s v="Sub. Operativa"/>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3"/>
    <x v="1"/>
    <s v="Sub. Operativa"/>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4"/>
    <x v="1"/>
    <s v="Sub. Operativa"/>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5"/>
    <x v="1"/>
    <s v="Sub. Operativa"/>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6"/>
    <x v="1"/>
    <s v="Sub. Operativa"/>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7"/>
    <x v="1"/>
    <s v="Sub. Operativa"/>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38"/>
    <x v="1"/>
    <s v="Sub. Operativa"/>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0"/>
    <x v="1"/>
    <s v="Sub. Operativa"/>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1"/>
    <x v="1"/>
    <s v="Sub. Operativa"/>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2"/>
    <x v="1"/>
    <s v="Sub. Operativa"/>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40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3"/>
    <x v="1"/>
    <s v="Sub. Operativa"/>
    <s v="Yenire Yohansy Lozano Ascanio"/>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4"/>
    <x v="1"/>
    <s v="Sub. Operativa"/>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45"/>
    <x v="1"/>
    <s v="Sub. Operativa"/>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350"/>
    <x v="2"/>
    <s v="Sub. Operativa"/>
    <s v="Yenire Yohansy Lozano Ascanio"/>
    <s v="Adquisición de uniformes para el personal operativo de la UAECOB"/>
    <s v="06 - contrato de compraventa"/>
    <n v="53102710"/>
    <n v="2"/>
    <n v="6"/>
    <n v="0"/>
    <n v="250050000"/>
    <x v="1"/>
    <s v="03 - selec. abrev. subasta inversa"/>
    <s v="No aplica"/>
    <s v="NA"/>
    <s v="NA"/>
    <s v="NA"/>
    <s v="N/A"/>
    <s v="N/A"/>
    <s v="N/A-N/A"/>
    <s v="N/A"/>
    <s v="N/A"/>
    <s v="N/A_N/A"/>
    <s v="N/A-N/A N/A_N/A"/>
    <s v="NANANAN/AN/A"/>
    <s v="N/A"/>
    <x v="11"/>
    <s v="Si Secop "/>
  </r>
  <r>
    <n v="20250351"/>
    <x v="0"/>
    <s v="Dirección Tic"/>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2"/>
    <x v="0"/>
    <s v="Dirección Tic"/>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3"/>
    <x v="0"/>
    <s v="Dirección Tic"/>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354"/>
    <x v="0"/>
    <s v="Dirección Tic"/>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5"/>
    <x v="0"/>
    <s v="Dirección Tic"/>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6"/>
    <x v="0"/>
    <s v="Dirección Tic"/>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7"/>
    <x v="0"/>
    <s v="Dirección Tic"/>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1043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8"/>
    <x v="0"/>
    <s v="Dirección Tic"/>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59"/>
    <x v="0"/>
    <s v="Dirección Tic"/>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0"/>
    <x v="0"/>
    <s v="Dirección Tic"/>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361"/>
    <x v="0"/>
    <s v="Dirección Tic"/>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2"/>
    <x v="0"/>
    <s v="Dirección Tic"/>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3"/>
    <x v="0"/>
    <s v="Dirección Tic"/>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4"/>
    <x v="0"/>
    <s v="Dirección Tic"/>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5"/>
    <x v="0"/>
    <s v="Dirección Tic"/>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6"/>
    <x v="0"/>
    <s v="Dirección Tic"/>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7"/>
    <x v="0"/>
    <s v="Dirección Tic"/>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8"/>
    <x v="0"/>
    <s v="Dirección Tic"/>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69"/>
    <x v="0"/>
    <s v="Dirección Tic"/>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0"/>
    <x v="0"/>
    <s v="Dirección Tic"/>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1"/>
    <x v="0"/>
    <s v="Dirección Tic"/>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2"/>
    <x v="0"/>
    <s v="Dirección Tic"/>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3"/>
    <x v="0"/>
    <s v="Dirección Tic"/>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4"/>
    <x v="0"/>
    <s v="Dirección Tic"/>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5"/>
    <x v="0"/>
    <s v="Dirección Tic"/>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6"/>
    <x v="0"/>
    <s v="Dirección Tic"/>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7"/>
    <x v="0"/>
    <s v="Dirección Tic"/>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8"/>
    <x v="0"/>
    <s v="Dirección Tic"/>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1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79"/>
    <x v="0"/>
    <s v="Dirección Tic"/>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380"/>
    <x v="0"/>
    <s v="Dirección Tic"/>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381"/>
    <x v="0"/>
    <s v="Dirección Tic"/>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383"/>
    <x v="0"/>
    <s v="Dirección Tic"/>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85"/>
    <x v="0"/>
    <s v="Dirección Tic"/>
    <s v="Paula Ximena Henao Escobar"/>
    <s v="Adquisición de un certificado digital servidor seguro SSL para múltiples subdominios y aplicaciones para los sistemas misionales de la UAE cuerpo oficial de bomberos de Bogotá"/>
    <s v="06 - contrato de compraventa"/>
    <n v="81111801"/>
    <n v="10"/>
    <n v="12"/>
    <n v="0"/>
    <n v="233478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86"/>
    <x v="0"/>
    <s v="Dirección Tic"/>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x v="0"/>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88"/>
    <x v="0"/>
    <s v="Dirección Tic"/>
    <s v="Paula Ximena Henao Escobar"/>
    <s v="Contratar la adquisición, renovación y  suscripciones de licencia Microsoft para la U.A.E. Cuerpo Oficial de Bomberos de Bogotá - TIC"/>
    <s v="03 - contrato de prestacion de servicios"/>
    <s v="43231512;81112501"/>
    <n v="3"/>
    <n v="9"/>
    <n v="0"/>
    <n v="688906483"/>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389"/>
    <x v="0"/>
    <s v="Dirección Tic"/>
    <s v="Paula Ximena Henao Escobar"/>
    <s v="Contratar el alquiler de equipos tecnológicos, periféricos y servicios complementarios para la U.A.E. Cuerpo Oficial de Bomberos de Bogotá. - TIC"/>
    <s v="23 - contrato de alquiler"/>
    <n v="81112401"/>
    <n v="3"/>
    <n v="9"/>
    <n v="0"/>
    <n v="26656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390"/>
    <x v="0"/>
    <s v="Dirección Tic"/>
    <s v="Paula Ximena Henao Escobar"/>
    <s v="Contratar el servicio de soporte y mantenimiento del sistema de gestión documental  para la U.A.E. Cuerpo Oficial de Bomberos de Bogotá- TIC"/>
    <s v="13 - orden de servicio"/>
    <s v="43233000;81112200"/>
    <n v="3"/>
    <n v="9"/>
    <n v="0"/>
    <n v="169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94"/>
    <x v="0"/>
    <s v="Dirección Tic"/>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96"/>
    <x v="0"/>
    <s v="Dirección Tic"/>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97"/>
    <x v="0"/>
    <s v="Dirección Tic"/>
    <s v="Paula Ximena Henao Escobar"/>
    <s v="Adquirir la plataforma de geolocalización ArcGIS para el fortalecimiento de los objetivos misionales de la U.A.E Cuerpo Oficial de bomberos"/>
    <s v="19 - contrato de renovacion de licencias"/>
    <s v="81112217, 43231512, 43232700, _x000a_43231500"/>
    <n v="10"/>
    <n v="12"/>
    <n v="0"/>
    <n v="165519648"/>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No Secop"/>
  </r>
  <r>
    <n v="20250398"/>
    <x v="0"/>
    <s v="Dirección Tic"/>
    <s v="Paula Ximena Henao Escobar"/>
    <s v="Contratar la adquisición de usuarios de ArcGis para la U.A.E. Cuerpo Oficial de Bomberos de Bogotá. - TIC"/>
    <s v="19 - contrato de renovacion de licencias"/>
    <n v="81112217"/>
    <n v="1"/>
    <n v="12"/>
    <n v="0"/>
    <n v="1614295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399"/>
    <x v="0"/>
    <s v="Dirección Tic"/>
    <s v="Paula Ximena Henao Escobar"/>
    <s v="Contratar la adquisición de tarjetas de comunicación satelital de voz, para la U.A.E. Cuerpo Oficial de Bomberos de Bogotá. "/>
    <s v="03 - contrato de prestacion de servicios"/>
    <s v="83121700;83111600;43221700"/>
    <n v="3"/>
    <n v="12"/>
    <n v="0"/>
    <n v="3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401"/>
    <x v="0"/>
    <s v="Dirección Tic"/>
    <s v="Paula Ximena Henao Escobar"/>
    <s v="Contratar la adquisición de equipo, software e insumos para la generación de carnets, para la U.A.E. Cuerpo Oficial de Bomberos de Bogotá."/>
    <s v="06 - contrato de compraventa"/>
    <s v="43212105, 43212110,43212115"/>
    <n v="3"/>
    <n v="9"/>
    <n v="0"/>
    <n v="9999570"/>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402"/>
    <x v="0"/>
    <s v="Dirección Tic"/>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410"/>
    <x v="1"/>
    <s v="Sub. Gestión Corporativa"/>
    <s v="Fatima Veronica Quintero Nuñez"/>
    <s v="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
    <s v="12 - resolucion"/>
    <s v="N/A"/>
    <s v="N/A"/>
    <s v="N/A"/>
    <s v="N/A"/>
    <n v="35468656"/>
    <x v="2"/>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411"/>
    <x v="0"/>
    <s v="Sub. Gestión Corporativa"/>
    <s v="Fatima Veronica Quintero Nuñez"/>
    <s v="Contratar la prestación del servicio de aseo y cafetería incluido insumos para la UAE Cuerpo Oficial de Bomberos -SGC"/>
    <s v="01 - orden de compra"/>
    <s v="44121700;44121800;44121900;44122000"/>
    <n v="2"/>
    <n v="11"/>
    <n v="0"/>
    <n v="16805758"/>
    <x v="0"/>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5"/>
    <s v="Si Secop "/>
  </r>
  <r>
    <n v="2025041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3"/>
    <x v="0"/>
    <s v="Sub. Gestión Corporativa"/>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4"/>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5"/>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6"/>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7"/>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8"/>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19"/>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0"/>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7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1"/>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3"/>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4"/>
    <x v="0"/>
    <s v="Sub. Gestión Corporativa"/>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5"/>
    <x v="0"/>
    <s v="Sub. Gestión Corporativa"/>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6"/>
    <x v="0"/>
    <s v="Sub. Gestión Corporativa"/>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7"/>
    <x v="0"/>
    <s v="Sub. Gestión Corporativa"/>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8"/>
    <x v="0"/>
    <s v="Sub. Gestión Corporativa"/>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29"/>
    <x v="0"/>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6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430"/>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1"/>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2"/>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3"/>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4"/>
    <x v="0"/>
    <s v="Sub. Gestión Corporativa"/>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6"/>
    <x v="0"/>
    <s v="Sub. Gestión Corporativa"/>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7"/>
    <x v="0"/>
    <s v="Sub. Gestión Corporativa"/>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8"/>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39"/>
    <x v="0"/>
    <s v="Sub. Gestión Corporativa"/>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0"/>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2"/>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3"/>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4"/>
    <x v="0"/>
    <s v="Sub. Gestión Corporativa"/>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5"/>
    <x v="0"/>
    <s v="Sub. Gestión Corporativa"/>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6"/>
    <x v="0"/>
    <s v="Sub. Gestión Corporativa"/>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7"/>
    <x v="0"/>
    <s v="Sub. Gestión Corporativa"/>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8"/>
    <x v="0"/>
    <s v="Sub. Gestión Corporativa"/>
    <s v="Fatima Veronica Quintero Nuñez"/>
    <s v="Prestar los servicios como conductor de la Subdirección de Gestión Corporativa -SGC"/>
    <s v="26 - contrato de prestacion de servicios de apoyo a la gestion"/>
    <s v="80111600;"/>
    <n v="2"/>
    <n v="11"/>
    <n v="0"/>
    <n v="34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49"/>
    <x v="0"/>
    <s v="Sub. Gestión Corporativa"/>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50"/>
    <x v="0"/>
    <s v="Sub. Gestión Corporativa"/>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51"/>
    <x v="0"/>
    <s v="Sub. Gestión Corporativa"/>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452"/>
    <x v="0"/>
    <s v="Sub. Gestión Corporativa"/>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453"/>
    <x v="0"/>
    <s v="Sub. Gestión Corporativa"/>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454"/>
    <x v="0"/>
    <s v="Sub. Gestión Corporativa"/>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No Secop"/>
  </r>
  <r>
    <n v="20250455"/>
    <x v="0"/>
    <s v="Sub. Gestión Corporativa"/>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456"/>
    <x v="0"/>
    <s v="Sub. Gestión Corporativa"/>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457"/>
    <x v="0"/>
    <s v="Sub. Gestión Corporativa"/>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459"/>
    <x v="1"/>
    <s v="Sub. Gestión Corporativa"/>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460"/>
    <x v="1"/>
    <s v="Sub. Gestión Corporativa"/>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461"/>
    <x v="1"/>
    <s v="Sub. Gestión Corporativa"/>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Si Secop "/>
  </r>
  <r>
    <n v="20250462"/>
    <x v="0"/>
    <s v="Sub. Gestión Corporativa"/>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63"/>
    <x v="0"/>
    <s v="Sub. Gestión Corporativa"/>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64"/>
    <x v="0"/>
    <s v="Sub. Gestión Corporativa"/>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65"/>
    <x v="1"/>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
    <s v="Si Secop "/>
  </r>
  <r>
    <n v="20250466"/>
    <x v="0"/>
    <s v="Sub. Gestión Corporativa"/>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68"/>
    <x v="0"/>
    <s v="Sub. Gestión Corporativa"/>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69"/>
    <x v="0"/>
    <s v="Sub. Gestión Corporativa"/>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470"/>
    <x v="0"/>
    <s v="Sub. Gestión Corporativa"/>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1"/>
    <x v="0"/>
    <s v="Sub. Gestión Corporativa"/>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2"/>
    <x v="0"/>
    <s v="Sub. Gestión Corporativa"/>
    <s v="Fatima Veronica Quintero Nuñez"/>
    <s v="Prestar los servicios como conductor de la Subdirección de Gestión Corporativa -SGC"/>
    <s v="26 - contrato de prestacion de servicios de apoyo a la gestion"/>
    <s v="80111600;"/>
    <n v="2"/>
    <n v="11"/>
    <n v="0"/>
    <n v="3114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3"/>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4"/>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5"/>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6"/>
    <x v="0"/>
    <s v="Sub. Gestión Corporativa"/>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8"/>
    <x v="0"/>
    <s v="Sub. Gestión Corporativa"/>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79"/>
    <x v="0"/>
    <s v="Sub. Gestión Corporativa"/>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80"/>
    <x v="0"/>
    <s v="Sub. Gestión Corporativa"/>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81"/>
    <x v="0"/>
    <s v="Sub. Gestión Corporativa"/>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483"/>
    <x v="2"/>
    <s v="Sub. Gestión Corporativa"/>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s v="No aplica"/>
    <s v="NA"/>
    <s v="NA"/>
    <s v="NA"/>
    <s v="N/A"/>
    <s v="N/A"/>
    <s v="N/A-N/A"/>
    <s v="N/A"/>
    <s v="N/A"/>
    <s v="N/A_N/A"/>
    <s v="N/A-N/A N/A_N/A"/>
    <s v="NANANAN/AN/A"/>
    <s v="N/A"/>
    <x v="17"/>
    <s v="Si Secop "/>
  </r>
  <r>
    <n v="20250484"/>
    <x v="2"/>
    <s v="Sub. Gestión Corporativa"/>
    <s v="Fatima Veronica Quintero Nuñez"/>
    <s v="Contratar la prestación del servicio de aseo y cafetería incluido insumos para la UAE Cuerpo Oficial de Bomberos -SGC"/>
    <s v="03 - contrato de prestacion de servicios"/>
    <s v="44121700;44121800;44121900;44122000"/>
    <n v="2"/>
    <n v="11"/>
    <n v="0"/>
    <n v="147853623"/>
    <x v="1"/>
    <s v=" 17 - acuerdo marco de precios "/>
    <s v="No aplica"/>
    <s v="NA"/>
    <s v="NA"/>
    <s v="NA"/>
    <s v="N/A"/>
    <s v="N/A"/>
    <s v="N/A-N/A"/>
    <s v="N/A"/>
    <s v="N/A"/>
    <s v="N/A_N/A"/>
    <s v="N/A-N/A N/A_N/A"/>
    <s v="NANANAN/AN/A"/>
    <s v="N/A"/>
    <x v="17"/>
    <s v="Si Secop "/>
  </r>
  <r>
    <n v="20250485"/>
    <x v="2"/>
    <s v="Sub. Gestión Corporativa"/>
    <s v="Fatima Veronica Quintero Nuñez"/>
    <s v="Contratar la prestación del servicio de aseo y cafetería incluido insumos para la UAE Cuerpo Oficial de Bomberos -SGC"/>
    <s v="03 - contrato de prestacion de servicios"/>
    <s v="44121700;44121800;44121900;44122000"/>
    <n v="2"/>
    <n v="11"/>
    <n v="0"/>
    <n v="453335302"/>
    <x v="1"/>
    <s v=" 17 - acuerdo marco de precios "/>
    <s v="No aplica"/>
    <s v="NA"/>
    <s v="NA"/>
    <s v="NA"/>
    <s v="N/A"/>
    <s v="N/A"/>
    <s v="N/A-N/A"/>
    <s v="N/A"/>
    <s v="N/A"/>
    <s v="N/A_N/A"/>
    <s v="N/A-N/A N/A_N/A"/>
    <s v="NANANAN/AN/A"/>
    <s v="N/A"/>
    <x v="17"/>
    <s v="Si Secop "/>
  </r>
  <r>
    <n v="20250486"/>
    <x v="2"/>
    <s v="Sub. Gestión Corporativa"/>
    <s v="Fatima Veronica Quintero Nuñez"/>
    <s v="Arrendamiento de instalaciones estación Ferias-SGC"/>
    <s v="07 - contrato de arrendamiento"/>
    <s v="80131502;"/>
    <n v="1"/>
    <n v="12"/>
    <n v="0"/>
    <n v="157080000"/>
    <x v="1"/>
    <s v=" 09 - contratación directa "/>
    <s v="No aplica"/>
    <s v="NA"/>
    <s v="NA"/>
    <s v="NA"/>
    <s v="N/A"/>
    <s v="N/A"/>
    <s v="N/A-N/A"/>
    <s v="N/A"/>
    <s v="N/A"/>
    <s v="N/A_N/A"/>
    <s v="N/A-N/A N/A_N/A"/>
    <s v="NANANAN/AN/A"/>
    <s v="N/A"/>
    <x v="17"/>
    <s v="Si Secop "/>
  </r>
  <r>
    <n v="20250487"/>
    <x v="2"/>
    <s v="Sub. Gestión Corporativa"/>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x v="1"/>
    <s v=" 09 - contratación directa "/>
    <s v="No aplica"/>
    <s v="NA"/>
    <s v="NA"/>
    <s v="NA"/>
    <s v="N/A"/>
    <s v="N/A"/>
    <s v="N/A-N/A"/>
    <s v="N/A"/>
    <s v="N/A"/>
    <s v="N/A_N/A"/>
    <s v="N/A-N/A N/A_N/A"/>
    <s v="NANANAN/AN/A"/>
    <s v="N/A"/>
    <x v="2"/>
    <s v="No Secop"/>
  </r>
  <r>
    <n v="20250488"/>
    <x v="2"/>
    <s v="Sub. Gestión Corporativa"/>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x v="1"/>
    <s v="03 - selec. abrev. subasta inversa"/>
    <s v="No aplica"/>
    <s v="NA"/>
    <s v="NA"/>
    <s v="NA"/>
    <s v="N/A"/>
    <s v="N/A"/>
    <s v="N/A-N/A"/>
    <s v="N/A"/>
    <s v="N/A"/>
    <s v="N/A_N/A"/>
    <s v="N/A-N/A N/A_N/A"/>
    <s v="NANANAN/AN/A"/>
    <s v="N/A"/>
    <x v="17"/>
    <s v="Si Secop "/>
  </r>
  <r>
    <n v="20250489"/>
    <x v="2"/>
    <s v="Sub. Gestión Corporativa"/>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s v="No aplica"/>
    <s v="NA"/>
    <s v="NA"/>
    <s v="NA"/>
    <s v="N/A"/>
    <s v="N/A"/>
    <s v="N/A-N/A"/>
    <s v="N/A"/>
    <s v="N/A"/>
    <s v="N/A_N/A"/>
    <s v="N/A-N/A N/A_N/A"/>
    <s v="NANANAN/AN/A"/>
    <s v="N/A"/>
    <x v="17"/>
    <s v="Si Secop "/>
  </r>
  <r>
    <n v="20250491"/>
    <x v="2"/>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s v="No aplica"/>
    <s v="NA"/>
    <s v="NA"/>
    <s v="NA"/>
    <s v="N/A"/>
    <s v="N/A"/>
    <s v="N/A-N/A"/>
    <s v="N/A"/>
    <s v="N/A"/>
    <s v="N/A_N/A"/>
    <s v="N/A-N/A N/A_N/A"/>
    <s v="NANANAN/AN/A"/>
    <s v="N/A"/>
    <x v="17"/>
    <s v="Si Secop "/>
  </r>
  <r>
    <n v="20250492"/>
    <x v="2"/>
    <s v="Sub. Gestión Corporativa"/>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s v="No aplica"/>
    <s v="NA"/>
    <s v="NA"/>
    <s v="NA"/>
    <s v="N/A"/>
    <s v="N/A"/>
    <s v="N/A-N/A"/>
    <s v="N/A"/>
    <s v="N/A"/>
    <s v="N/A_N/A"/>
    <s v="N/A-N/A N/A_N/A"/>
    <s v="NANANAN/AN/A"/>
    <s v="N/A"/>
    <x v="17"/>
    <s v="No Secop"/>
  </r>
  <r>
    <n v="20250493"/>
    <x v="2"/>
    <s v="Sub. Gestión Corporativa"/>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s v="No aplica"/>
    <s v="NA"/>
    <s v="NA"/>
    <s v="NA"/>
    <s v="N/A"/>
    <s v="N/A"/>
    <s v="N/A-N/A"/>
    <s v="N/A"/>
    <s v="N/A"/>
    <s v="N/A_N/A"/>
    <s v="N/A-N/A N/A_N/A"/>
    <s v="NANANAN/AN/A"/>
    <s v="N/A"/>
    <x v="17"/>
    <s v="No Secop"/>
  </r>
  <r>
    <n v="20250494"/>
    <x v="2"/>
    <s v="Sub. Gestión Corporativa"/>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x v="1"/>
    <s v="01 - licitación pública"/>
    <s v="No aplica"/>
    <s v="NA"/>
    <s v="NA"/>
    <s v="NA"/>
    <s v="N/A"/>
    <s v="N/A"/>
    <s v="N/A-N/A"/>
    <s v="N/A"/>
    <s v="N/A"/>
    <s v="N/A_N/A"/>
    <s v="N/A-N/A N/A_N/A"/>
    <s v="NANANAN/AN/A"/>
    <s v="N/A"/>
    <x v="17"/>
    <s v="Si Secop "/>
  </r>
  <r>
    <n v="20250495"/>
    <x v="2"/>
    <s v="Sub. Gestión Corporativa"/>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s v="No aplica"/>
    <s v="NA"/>
    <s v="NA"/>
    <s v="NA"/>
    <s v="N/A"/>
    <s v="N/A"/>
    <s v="N/A-N/A"/>
    <s v="N/A"/>
    <s v="N/A"/>
    <s v="N/A_N/A"/>
    <s v="N/A-N/A N/A_N/A"/>
    <s v="NANANAN/AN/A"/>
    <s v="N/A"/>
    <x v="17"/>
    <s v="No Secop"/>
  </r>
  <r>
    <n v="20250496"/>
    <x v="2"/>
    <s v="Sub. Gestión Corporativa"/>
    <s v="Fatima Veronica Quintero Nuñez"/>
    <s v="Mantenimiento ascensor nueva Estación de Bomberos de Fontibón-SGC"/>
    <s v="27 - contrato de prestacion de servicios de mantenimiento"/>
    <s v="72101506;_x000a_72154010;"/>
    <n v="4"/>
    <n v="10"/>
    <n v="0"/>
    <n v="11000000"/>
    <x v="1"/>
    <s v=" 09 - contratación directa "/>
    <s v="No aplica"/>
    <s v="NA"/>
    <s v="NA"/>
    <s v="NA"/>
    <s v="N/A"/>
    <s v="N/A"/>
    <s v="N/A-N/A"/>
    <s v="N/A"/>
    <s v="N/A"/>
    <s v="N/A_N/A"/>
    <s v="N/A-N/A N/A_N/A"/>
    <s v="NANANAN/AN/A"/>
    <s v="N/A"/>
    <x v="17"/>
    <s v="Si Secop "/>
  </r>
  <r>
    <n v="20250497"/>
    <x v="2"/>
    <s v="Sub. Gestión Corporativa"/>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x v="1"/>
    <s v="04 - contratación mínima cuantía"/>
    <s v="No aplica"/>
    <s v="NA"/>
    <s v="NA"/>
    <s v="NA"/>
    <s v="N/A"/>
    <s v="N/A"/>
    <s v="N/A-N/A"/>
    <s v="N/A"/>
    <s v="N/A"/>
    <s v="N/A_N/A"/>
    <s v="N/A-N/A N/A_N/A"/>
    <s v="NANANAN/AN/A"/>
    <s v="N/A"/>
    <x v="17"/>
    <s v="Si Secop "/>
  </r>
  <r>
    <n v="20250500"/>
    <x v="2"/>
    <s v="Sub. Gestión Corporativa"/>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25000000"/>
    <x v="1"/>
    <s v="04 - contratación mínima cuantía"/>
    <s v="No aplica"/>
    <s v="NA"/>
    <s v="NA"/>
    <s v="NA"/>
    <s v="N/A"/>
    <s v="N/A"/>
    <s v="N/A-N/A"/>
    <s v="N/A"/>
    <s v="N/A"/>
    <s v="N/A_N/A"/>
    <s v="N/A-N/A N/A_N/A"/>
    <s v="NANANAN/AN/A"/>
    <s v="N/A"/>
    <x v="17"/>
    <s v="Si Secop "/>
  </r>
  <r>
    <n v="20250501"/>
    <x v="2"/>
    <s v="Sub. Gestión Corporativa"/>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s v="No aplica"/>
    <s v="NA"/>
    <s v="NA"/>
    <s v="NA"/>
    <s v="N/A"/>
    <s v="N/A"/>
    <s v="N/A-N/A"/>
    <s v="N/A"/>
    <s v="N/A"/>
    <s v="N/A_N/A"/>
    <s v="N/A-N/A N/A_N/A"/>
    <s v="NANANAN/AN/A"/>
    <s v="N/A"/>
    <x v="17"/>
    <s v="Si Secop "/>
  </r>
  <r>
    <n v="20250502"/>
    <x v="2"/>
    <s v="Sub. Gestión Corporativa"/>
    <s v="Fatima Veronica Quintero Nuñez"/>
    <s v="Suministro de insumos para lavandería-SGC"/>
    <s v="08 - contrato de suministro"/>
    <s v="44103100;"/>
    <n v="3"/>
    <n v="8"/>
    <n v="0"/>
    <n v="10000000"/>
    <x v="1"/>
    <s v="04 - contratación mínima cuantía"/>
    <s v="No aplica"/>
    <s v="NA"/>
    <s v="NA"/>
    <s v="NA"/>
    <s v="N/A"/>
    <s v="N/A"/>
    <s v="N/A-N/A"/>
    <s v="N/A"/>
    <s v="N/A"/>
    <s v="N/A_N/A"/>
    <s v="N/A-N/A N/A_N/A"/>
    <s v="NANANAN/AN/A"/>
    <s v="N/A"/>
    <x v="17"/>
    <s v="Si Secop "/>
  </r>
  <r>
    <n v="20250503"/>
    <x v="2"/>
    <s v="Sub. Gestión Corporativa"/>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s v="No aplica"/>
    <s v="NA"/>
    <s v="NA"/>
    <s v="NA"/>
    <s v="N/A"/>
    <s v="N/A"/>
    <s v="N/A-N/A"/>
    <s v="N/A"/>
    <s v="N/A"/>
    <s v="N/A_N/A"/>
    <s v="N/A-N/A N/A_N/A"/>
    <s v="NANANAN/AN/A"/>
    <s v="N/A"/>
    <x v="17"/>
    <s v="No Secop"/>
  </r>
  <r>
    <n v="20250504"/>
    <x v="0"/>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478654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8"/>
    <s v="Si Secop "/>
  </r>
  <r>
    <n v="20250505"/>
    <x v="0"/>
    <s v="Sub. Gestión Corporativa"/>
    <s v="Fatima Veronica Quintero Nuñez"/>
    <s v="Mantenimiento preventivo y/o correctivo,  y suministros de repuestos para los equipos de gimnasio de las diferentes instalaciones a cargo de la UAE Cuerpo Oficial de Bomberos. -SGC"/>
    <s v="17 - contrato de mantenimiento"/>
    <s v="72151802;"/>
    <n v="2"/>
    <n v="9"/>
    <n v="0"/>
    <n v="4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507"/>
    <x v="0"/>
    <s v="Sub. Gestión Corporativa"/>
    <s v="Fatima Veronica Quintero Nuñez"/>
    <s v="Mantenimiento preventivo y/o correctivo, suministros y repuestos de los electrodomésticos de las instalaciones a cargo de la UAE Cuerpo Oficial de Bomberos Bogotá-SGC"/>
    <s v="17 - contrato de mantenimiento"/>
    <n v="73152108"/>
    <n v="3"/>
    <n v="8"/>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508"/>
    <x v="0"/>
    <s v="Sub. Gestión Corporativa"/>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Si Secop "/>
  </r>
  <r>
    <n v="20250510"/>
    <x v="0"/>
    <s v="Sub. Gestión Corporativa"/>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No Secop"/>
  </r>
  <r>
    <n v="20250511"/>
    <x v="0"/>
    <s v="Sub. Gestión Corporativa"/>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No Secop"/>
  </r>
  <r>
    <n v="20250515"/>
    <x v="0"/>
    <s v="Sub. Gestión Corporativa"/>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8"/>
    <s v="No Secop"/>
  </r>
  <r>
    <n v="20250516"/>
    <x v="0"/>
    <s v="Sub. Gestión Corporativa"/>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43235341"/>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3"/>
    <s v="Si Secop "/>
  </r>
  <r>
    <n v="20250517"/>
    <x v="1"/>
    <s v="Sub. Gestión Corporativa"/>
    <s v="Fatima Veronica Quintero Nuñez"/>
    <s v="Elaboración de estudios y diseños técnicos para la adecuación de la nueva estación de bomberos de la UAE Cuerpo Oficial de Bomberos de Bogotá – SGC"/>
    <s v="04 - contrato de consultoria"/>
    <s v="81101500;80101600"/>
    <n v="11"/>
    <n v="7"/>
    <n v="0"/>
    <n v="300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x v="14"/>
    <s v="Si Secop "/>
  </r>
  <r>
    <n v="20250518"/>
    <x v="1"/>
    <s v="Sub. Gestión Corporativa"/>
    <s v="Fatima Veronica Quintero Nuñez"/>
    <s v="Interventoría técnica, administrativa, financiera, contable, jurídica y ambiental para la elaboración de estudios y diseños técnicos para la adecuación de la nueva estación de bomberos de la UAE Cuerpo Oficial de Bomberos de Bogotá – SGC"/>
    <s v="14 - contrato de interventoria"/>
    <s v="80101600;81101500;72101500;72121400"/>
    <n v="11"/>
    <n v="7"/>
    <n v="0"/>
    <n v="74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x v="14"/>
    <s v="Si Secop "/>
  </r>
  <r>
    <n v="20250519"/>
    <x v="1"/>
    <s v="Sub. Gestión Corporativa"/>
    <s v="Fatima Veronica Quintero Nuñez"/>
    <s v="Elaboración de estudios y diseños técnicos para la adecuación de la estación de bomberos de Chapinero B-01  de la UAE Cuerpo Oficial de Bomberos de Bogotá – SGC"/>
    <s v="04 - contrato de consultoria"/>
    <s v="81101500;80101600"/>
    <n v="4"/>
    <n v="10"/>
    <n v="0"/>
    <n v="299999762"/>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Si Secop "/>
  </r>
  <r>
    <n v="20250520"/>
    <x v="1"/>
    <s v="Sub. Gestión Corporativa"/>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Si Secop "/>
  </r>
  <r>
    <n v="20250521"/>
    <x v="1"/>
    <s v="Sub. Gestión Corporativa"/>
    <s v="Fatima Veronica Quintero Nuñez"/>
    <s v="Elaboración de estudios y diseños técnicos para la construcción de la estación de bomberos de Puente Aranda B-4 de la UAE Cuerpo Oficial de Bomberos de Bogotá – SGC"/>
    <s v="04 - contrato de consultoria"/>
    <s v="81101500;80101600"/>
    <n v="4"/>
    <n v="10"/>
    <n v="0"/>
    <n v="498933846"/>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14"/>
    <s v="Si Secop "/>
  </r>
  <r>
    <n v="20250522"/>
    <x v="1"/>
    <s v="Sub. Gestión Corporativa"/>
    <s v="Fatima Veronica Quintero Nuñez"/>
    <s v="Interventoría técnica, administrativa, financiera, contable, jurídica y ambiental para la elaboración de estudios y diseños técnicos para la construcción de la estación de Bomberos de Puente Aranda B-4 de la UAE Cuerpo Oficial de Bomberos de Bogotá – SGC"/>
    <s v="14 - contrato de interventoria"/>
    <s v="80101600;81101500;72101500;72121400"/>
    <n v="4"/>
    <n v="10"/>
    <n v="0"/>
    <n v="15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14"/>
    <s v="Si Secop "/>
  </r>
  <r>
    <n v="20250523"/>
    <x v="1"/>
    <s v="Sub. Gestión Corporativa"/>
    <s v="Fatima Veronica Quintero Nuñez"/>
    <s v="Construcción y adecuación de la estación de bomberos de Caobos Salazar B-13 de la UAE Cuerpo Oficial de Bomberos de Bogotá – SGC"/>
    <s v="05 - contrato de obra"/>
    <s v="72121400; 72151700; 72151700; 81101500"/>
    <n v="8"/>
    <n v="20"/>
    <n v="0"/>
    <n v="6728595684"/>
    <x v="0"/>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Si Secop "/>
  </r>
  <r>
    <n v="20250524"/>
    <x v="1"/>
    <s v="Sub. Gestión Corporativa"/>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Si Secop "/>
  </r>
  <r>
    <n v="20250525"/>
    <x v="0"/>
    <s v="Sub. Gestión Corporativa"/>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83482587"/>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26"/>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2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28"/>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29"/>
    <x v="1"/>
    <s v="Sub. Gestión Corporativa"/>
    <s v="Fatima Veronica Quintero Nuñez"/>
    <s v="Prestación de servicios profesionales para apoyar las actividades jurídicas de la Subdirección de Gestión Corporativa-SGC"/>
    <s v="25 - contrato de prestacion de servicios profesionales"/>
    <s v="80111600;"/>
    <n v="2"/>
    <n v="11"/>
    <n v="0"/>
    <n v="4644978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1"/>
    <s v="Si Secop "/>
  </r>
  <r>
    <n v="20250530"/>
    <x v="1"/>
    <s v="Sub. Gestión Corporativa"/>
    <s v="Fatima Veronica Quintero Nuñez"/>
    <s v="Prestación de servicios profesionales en la proyección y el seguimiento financiero a los proyectos de la Subdirección de Gestión Corporativa-SGC"/>
    <s v="25 - contrato de prestacion de servicios profesionales"/>
    <s v="80111600;"/>
    <n v="2"/>
    <n v="11"/>
    <n v="0"/>
    <n v="468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Si Secop "/>
  </r>
  <r>
    <n v="20250531"/>
    <x v="1"/>
    <s v="Sub. Gestión Corporativa"/>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Si Secop "/>
  </r>
  <r>
    <n v="20250532"/>
    <x v="0"/>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533"/>
    <x v="1"/>
    <s v="Sub. Gestión Corporativa"/>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58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534"/>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35"/>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19705968"/>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36"/>
    <x v="0"/>
    <s v="Sub. Gestión Corporativa"/>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37"/>
    <x v="0"/>
    <s v="Sub. Gestión Corporativa"/>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38"/>
    <x v="0"/>
    <s v="Sub. Gestión Corporativa"/>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539"/>
    <x v="0"/>
    <s v="Sub. Gestión Corporativa"/>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0"/>
    <x v="1"/>
    <s v="Sub. Gestión Corporativa"/>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82041174"/>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x v="0"/>
    <s v="Si Secop "/>
  </r>
  <r>
    <n v="20250541"/>
    <x v="0"/>
    <s v="Sub. Gestión Corporativa"/>
    <s v="Fatima Veronica Quintero Nuñez"/>
    <s v="Prestación de servicios de apoyo en las actividades asociadas a los procesos de almacén de la Subdirección de Gestión Corporativa SGC"/>
    <s v="26 - contrato de prestacion de servicios de apoyo a la gestion"/>
    <s v="80111600;"/>
    <n v="2"/>
    <n v="11"/>
    <n v="0"/>
    <n v="262746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2"/>
    <x v="0"/>
    <s v="Sub. Gestión Corporativa"/>
    <s v="Fatima Veronica Quintero Nuñez"/>
    <s v="Prestación de servicios profesionales para atender las actividades financieras, a cargo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3"/>
    <x v="0"/>
    <s v="Sub. Gestión Corporativa"/>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43178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4"/>
    <x v="0"/>
    <s v="Sub. Gestión Corporativa"/>
    <s v="Fatima Veronica Quintero Nuñez"/>
    <s v="Prestación de servicios profesionales en el marco de las actividades administrativas de la Subdirección de Gestión Corporativa--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5"/>
    <x v="0"/>
    <s v="Sub. Gestión Corporativa"/>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46"/>
    <x v="1"/>
    <s v="Sub. Gestión Corporativa"/>
    <s v="Fatima Veronica Quintero Nuñez"/>
    <s v="Prestar servicios profesionales para realizar acompañamiento en los procesos contractuales adelantados por la Subdirección Gestión Corporativa -SGC"/>
    <s v="25 - contrato de prestacion de servicios profesionales"/>
    <s v="80111600;"/>
    <n v="2"/>
    <n v="11"/>
    <n v="0"/>
    <n v="54694112"/>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547"/>
    <x v="1"/>
    <s v="Sub. Gestión Corporativa"/>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490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x v="1"/>
    <s v="Si Secop "/>
  </r>
  <r>
    <n v="20250548"/>
    <x v="1"/>
    <s v="Sub. Gestión Corporativa"/>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49000000"/>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16"/>
    <s v="Si Secop "/>
  </r>
  <r>
    <n v="20250549"/>
    <x v="1"/>
    <s v="Sub. Gestión Corporativa"/>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550"/>
    <x v="1"/>
    <s v="Sub. Gestión Corporativa"/>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60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551"/>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2"/>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3"/>
    <x v="0"/>
    <s v="Sub. Gestión Corporativa"/>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30965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4"/>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252111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5"/>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305643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6"/>
    <x v="0"/>
    <s v="Sub. Gestión Corporativa"/>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7"/>
    <x v="0"/>
    <s v="Sub. Gestión Corporativa"/>
    <s v="Fatima Veronica Quintero Nuñez"/>
    <s v="Prestación de servicios de apoyo técnico en la gestión documental de la Subdirección de Gestión Corporativa de la Unidad-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58"/>
    <x v="2"/>
    <s v="Sub. Gestión Corporativa"/>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s v="No aplica"/>
    <s v="NA"/>
    <s v="NA"/>
    <s v="NA"/>
    <s v="N/A"/>
    <s v="N/A"/>
    <s v="N/A-N/A"/>
    <s v="N/A"/>
    <s v="N/A"/>
    <s v="N/A_N/A"/>
    <s v="N/A-N/A N/A_N/A"/>
    <s v="NANANAN/AN/A"/>
    <s v="N/A"/>
    <x v="17"/>
    <s v="No Secop"/>
  </r>
  <r>
    <n v="20250559"/>
    <x v="2"/>
    <s v="Dirección Tic"/>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70000000"/>
    <x v="1"/>
    <s v="03 - selec. abrev. subasta inversa"/>
    <s v="No aplica"/>
    <s v="NA"/>
    <s v="NA"/>
    <s v="NA"/>
    <s v="N/A"/>
    <s v="N/A"/>
    <s v="N/A-N/A"/>
    <s v="N/A"/>
    <s v="N/A"/>
    <s v="N/A_N/A"/>
    <s v="N/A-N/A N/A_N/A"/>
    <s v="NANANAN/AN/A"/>
    <s v="N/A"/>
    <x v="19"/>
    <s v="Si Secop "/>
  </r>
  <r>
    <n v="20250560"/>
    <x v="2"/>
    <s v="Dirección Tic"/>
    <s v="Paula Ximena Henao Escobar"/>
    <s v="Contratar los servicios de canales de datos dedicados para la UAE Cuerpo Oficial de Bomberos de Bogotá-TIC"/>
    <s v="24 - contrato de servicio"/>
    <n v="81112100"/>
    <n v="3"/>
    <n v="12"/>
    <n v="0"/>
    <n v="514061636"/>
    <x v="1"/>
    <s v="09 - contratación directa"/>
    <s v="No aplica"/>
    <s v="NA"/>
    <s v="NA"/>
    <s v="NA"/>
    <s v="N/A"/>
    <s v="N/A"/>
    <s v="N/A-N/A"/>
    <s v="N/A"/>
    <s v="N/A"/>
    <s v="N/A_N/A"/>
    <s v="N/A-N/A N/A_N/A"/>
    <s v="NANANAN/AN/A"/>
    <s v="N/A"/>
    <x v="20"/>
    <s v="Si Secop "/>
  </r>
  <r>
    <n v="20250561"/>
    <x v="2"/>
    <s v="Dirección Tic"/>
    <s v="Paula Ximena Henao Escobar"/>
    <s v="Contratar  la suscripción de licencias Suite Adobe para la UAE Cuerpo Oficial de Bomberos de Bogotá-TIC"/>
    <s v="19 - contrato de renovacion de licencias"/>
    <s v="81112501;43232102;43232103;43231512"/>
    <n v="11"/>
    <n v="12"/>
    <n v="0"/>
    <n v="43000000"/>
    <x v="1"/>
    <s v="17 - acuerdo marco de precios"/>
    <s v="No aplica"/>
    <s v="NA"/>
    <s v="NA"/>
    <s v="NA"/>
    <s v="N/A"/>
    <s v="N/A"/>
    <s v="N/A-N/A"/>
    <s v="N/A"/>
    <s v="N/A"/>
    <s v="N/A_N/A"/>
    <s v="N/A-N/A N/A_N/A"/>
    <s v="NANANAN/AN/A"/>
    <s v="N/A"/>
    <x v="21"/>
    <s v="Si Secop "/>
  </r>
  <r>
    <n v="20250562"/>
    <x v="2"/>
    <s v="Dirección Tic"/>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s v="No aplica"/>
    <s v="NA"/>
    <s v="NA"/>
    <s v="NA"/>
    <s v="N/A"/>
    <s v="N/A"/>
    <s v="N/A-N/A"/>
    <s v="N/A"/>
    <s v="N/A"/>
    <s v="N/A_N/A"/>
    <s v="N/A-N/A N/A_N/A"/>
    <s v="NANANAN/AN/A"/>
    <s v="N/A"/>
    <x v="21"/>
    <s v="Si Secop "/>
  </r>
  <r>
    <n v="20250563"/>
    <x v="0"/>
    <s v="Dirección"/>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64"/>
    <x v="0"/>
    <s v="Dirección"/>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65"/>
    <x v="0"/>
    <s v="Dirección comunicaciones y Prensa"/>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566"/>
    <x v="0"/>
    <s v="Dirección comunicaciones y Prensa"/>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11"/>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567"/>
    <x v="0"/>
    <s v="Dirección"/>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4506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69"/>
    <x v="1"/>
    <s v="Sub. Gestión Humana"/>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0"/>
    <x v="1"/>
    <s v="Sub. Gestión Humana"/>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8"/>
    <n v="3"/>
    <n v="0"/>
    <n v="1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1"/>
    <x v="1"/>
    <s v="Sub. Gestión Humana"/>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2"/>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3"/>
    <x v="1"/>
    <s v="Sub. Gestión Humana"/>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4"/>
    <x v="1"/>
    <s v="Sub. Gestión Humana"/>
    <s v="Jose Andres Ponce Caicedo"/>
    <s v="SGH - Prestar sus servicios profesionales en la Subdirección de Gestión Humana, en la administración de sistema de seguridad y salud en el trabajo"/>
    <s v="25 - contrato de prestacion de servicios profesionales"/>
    <n v="80111600"/>
    <n v="2"/>
    <n v="11"/>
    <n v="0"/>
    <n v="5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5"/>
    <x v="1"/>
    <s v="Sub. Gestión Humana"/>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6"/>
    <x v="1"/>
    <s v="Sub. Gestión Humana"/>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7"/>
    <x v="1"/>
    <s v="Sub. Gestión Humana"/>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8"/>
    <x v="1"/>
    <s v="Sub. Gestión Humana"/>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79"/>
    <x v="1"/>
    <s v="Sub. Gestión Humana"/>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754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0580"/>
    <x v="1"/>
    <s v="Sub. Gestión Humana"/>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1"/>
    <x v="1"/>
    <s v="Sub. Gestión Humana"/>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2"/>
    <x v="1"/>
    <s v="Sub. Gestión Humana"/>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3"/>
    <x v="1"/>
    <s v="Sub. Gestión Humana"/>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4"/>
    <x v="1"/>
    <s v="Sub. Gestión Humana"/>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5"/>
    <x v="1"/>
    <s v="Sub. Gestión Humana"/>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586"/>
    <x v="0"/>
    <s v="Oficina Juridica"/>
    <s v="Monica Perez Barragan"/>
    <s v="Prestar los servicios profesionales jurídicos para apoyar las actividades propias de la gestión contractual que adelanta la Oficina Jurídica"/>
    <s v="25 - contrato de prestacion de servicios profesionales"/>
    <n v="80111600"/>
    <n v="2"/>
    <n v="11"/>
    <n v="0"/>
    <n v="459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587"/>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6 - contrato de prestacion de servicios de apoyo a la gestion"/>
    <n v="80111600"/>
    <n v="2"/>
    <n v="4"/>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588"/>
    <x v="2"/>
    <s v="Sub. Gestión Corporativa"/>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s v="No aplica"/>
    <s v="NA"/>
    <s v="NA"/>
    <s v="NA"/>
    <s v="N/A"/>
    <s v="N/A"/>
    <s v="N/A-N/A"/>
    <s v="N/A"/>
    <s v="N/A"/>
    <s v="N/A_N/A"/>
    <s v="N/A-N/A N/A_N/A"/>
    <s v="NANANAN/AN/A"/>
    <s v="N/A"/>
    <x v="2"/>
    <s v="No Secop"/>
  </r>
  <r>
    <n v="20250590"/>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3"/>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4"/>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6"/>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598"/>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01"/>
    <x v="0"/>
    <s v="Sub. Gestión Corporativa"/>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02"/>
    <x v="0"/>
    <s v="Sub. Gestión Corporativa"/>
    <s v="Fatima Veronica Quintero Nuñez"/>
    <s v="Prestar los servicios profesionales en el area de inventarios de la Subdireccion de Gestión Corporativa-SGC"/>
    <s v="25 - contrato de prestacion de servicios profesionales"/>
    <s v="80111600;"/>
    <n v="2"/>
    <n v="9"/>
    <n v="0"/>
    <n v="4128869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03"/>
    <x v="2"/>
    <s v="Sub. Gestión Corporativa"/>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s v="No aplica"/>
    <s v="NA"/>
    <s v="NA"/>
    <s v="NA"/>
    <s v="N/A"/>
    <s v="N/A"/>
    <s v="N/A-N/A"/>
    <s v="N/A"/>
    <s v="N/A"/>
    <s v="N/A_N/A"/>
    <s v="N/A-N/A N/A_N/A"/>
    <s v="NANANAN/AN/A"/>
    <s v="N/A"/>
    <x v="2"/>
    <s v="Si Secop "/>
  </r>
  <r>
    <n v="20250604"/>
    <x v="1"/>
    <s v="Sub. Logística"/>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No Secop"/>
  </r>
  <r>
    <n v="20250605"/>
    <x v="1"/>
    <s v="Sub. Logística"/>
    <s v="Omer Mauricio Rivera Ruiz"/>
    <s v="Prestar servicios de apoyo a la gestión en las actividades de soporte operacional de la UAECOB Subdirección Logística. SBLG"/>
    <s v="26 - contrato de prestacion de servicios de apoyo a la gestion"/>
    <n v="80111600"/>
    <n v="3"/>
    <n v="8"/>
    <n v="0"/>
    <n v="2299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06"/>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07"/>
    <x v="1"/>
    <s v="Sub. Logística"/>
    <s v="Omer Mauricio Rivera Ruiz"/>
    <s v="Prestar servicios de apoyo a la gestión en las actividades de soporte operacional de la UAECOB Subdirección Logística. SBLG"/>
    <s v="26 - contrato de prestacion de servicios de apoyo a la gestion"/>
    <n v="80111600"/>
    <n v="3"/>
    <n v="8"/>
    <n v="0"/>
    <n v="1971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08"/>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09"/>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10"/>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13"/>
    <x v="0"/>
    <s v="Dirección Tic"/>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57910392"/>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614"/>
    <x v="0"/>
    <s v="Dirección Tic"/>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617"/>
    <x v="0"/>
    <s v="Dirección Tic"/>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618"/>
    <x v="0"/>
    <s v="Dirección Tic"/>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619"/>
    <x v="0"/>
    <s v="Dirección Tic"/>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No Secop"/>
  </r>
  <r>
    <n v="20250620"/>
    <x v="0"/>
    <s v="Dirección Tic"/>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623"/>
    <x v="0"/>
    <s v="Oficina Asesora de Planeación"/>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625"/>
    <x v="1"/>
    <s v="Sub. Gestión Humana"/>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26"/>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996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28"/>
    <x v="1"/>
    <s v="Sub. Gestión Riesgos"/>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629"/>
    <x v="1"/>
    <s v="Sub. Gestión Riesgos"/>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630"/>
    <x v="1"/>
    <s v="Sub. Operativa"/>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33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1"/>
    <x v="1"/>
    <s v="Sub. Operativa"/>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2"/>
    <x v="1"/>
    <s v="Sub. Operativa"/>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3"/>
    <x v="1"/>
    <s v="Sub. Operativa"/>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5"/>
    <x v="1"/>
    <s v="Sub. Operativa"/>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6"/>
    <x v="1"/>
    <s v="Sub. Operativa"/>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7"/>
    <x v="1"/>
    <s v="Sub. Operativa"/>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38"/>
    <x v="1"/>
    <s v="Sub. Operativa"/>
    <s v="Yenire Yohansy Lozano Ascanio"/>
    <s v="Adquisición de elementos y accesorios para el grupo especializado UARBO de la UAECOB."/>
    <s v="06 - contrato de compraventa"/>
    <s v="49141503;49141504;_x000a_49141505;49141506;_x000a_49141507"/>
    <n v="5"/>
    <n v="3"/>
    <n v="0"/>
    <n v="603010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x v="3"/>
    <s v="Si Secop "/>
  </r>
  <r>
    <n v="20250639"/>
    <x v="1"/>
    <s v="Sub. Operativa"/>
    <s v="Yenire Yohansy Lozano Ascanio"/>
    <s v="Adquisición de elementos y accesorios para el grupo especializado BRAE de la UAECOB."/>
    <s v="06 - contrato de compraventa"/>
    <s v="53102710; 10131600; 10141600;_x000a_10191700; 20102000; 21102400;_x000a_23101500; 39111600; 41102500;_x000a_41111500; 42121600; 42143600;_x000a_42172000; 46181500; 46182000;_x000a_46191500;"/>
    <n v="5"/>
    <n v="3"/>
    <n v="0"/>
    <n v="5393021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x v="3"/>
    <s v="Si Secop "/>
  </r>
  <r>
    <n v="20250640"/>
    <x v="1"/>
    <s v="Sub. Operativa"/>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41"/>
    <x v="1"/>
    <s v="Sub. Gestión Corporativa"/>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40000000"/>
    <x v="0"/>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0642"/>
    <x v="0"/>
    <s v="Sub. Gestión Corporativa"/>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43"/>
    <x v="0"/>
    <s v="Sub. Gestión Corporativa"/>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44"/>
    <x v="0"/>
    <s v="Sub. Gestión Corporativa"/>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41288696"/>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46"/>
    <x v="0"/>
    <s v="Sub. Gestión Corporativa"/>
    <s v="Fatima Veronica Quintero Nuñez"/>
    <s v="Prestar el servicio y mantenimiento de equipos de higienización, desodorización y aromatización para la UAECOB "/>
    <s v="03 - contrato de prestacion de servicios"/>
    <s v="76101501;_x000a_47131829;"/>
    <n v="10"/>
    <n v="3"/>
    <n v="0"/>
    <n v="4773201"/>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651"/>
    <x v="1"/>
    <s v="Sub. Operativa"/>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52"/>
    <x v="1"/>
    <s v="Sub. Operativa"/>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53"/>
    <x v="0"/>
    <s v="Dirección comunicaciones y Prensa"/>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189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Si Secop "/>
  </r>
  <r>
    <n v="20250654"/>
    <x v="1"/>
    <s v="Sub. Gestión Humana"/>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56"/>
    <x v="0"/>
    <s v="Oficina Asesora de Planeación"/>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657"/>
    <x v="1"/>
    <s v="Sub. Logística"/>
    <s v="Omer Mauricio Rivera Ruiz"/>
    <s v="Prestar los servicios profesionales para la gestión financiera de los procesos de contratación de la Subdirección Logística"/>
    <s v="25 - contrato de prestacion de servicios profesionales"/>
    <n v="80111600"/>
    <n v="11"/>
    <n v="1"/>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58"/>
    <x v="1"/>
    <s v="Sub. Logística"/>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4"/>
    <s v="No Secop"/>
  </r>
  <r>
    <n v="20250659"/>
    <x v="1"/>
    <s v="Sub. Logística"/>
    <s v="Omer Mauricio Rivera Ruiz"/>
    <s v="Pago de pasivo exigible UAECOB-contrato No. 125 de 2022"/>
    <s v="12 - resolucion"/>
    <s v="N/A"/>
    <n v="0"/>
    <n v="0"/>
    <n v="0"/>
    <n v="2445667"/>
    <x v="2"/>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660"/>
    <x v="0"/>
    <s v="Dirección Tic"/>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661"/>
    <x v="1"/>
    <s v="Sub. Gestión Riesgos"/>
    <s v="William Tovar Segura"/>
    <s v="Prestar servicios profesionales  en las actividades de Programas y Campañas de Prevención para la Subdirección de Gestión del Riesgo. 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0662"/>
    <x v="1"/>
    <s v="Sub. Gestión Riesgos"/>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663"/>
    <x v="2"/>
    <s v="Sub. Logística"/>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s v="No aplica"/>
    <s v="NA"/>
    <s v="NA"/>
    <s v="NA"/>
    <s v="N/A"/>
    <s v="N/A"/>
    <s v="N/A-N/A"/>
    <s v="N/A"/>
    <s v="N/A"/>
    <s v="N/A_N/A"/>
    <s v="N/A-N/A N/A_N/A"/>
    <s v="NANANAN/AN/A"/>
    <s v="N/A"/>
    <x v="10"/>
    <s v="No Secop"/>
  </r>
  <r>
    <n v="20250664"/>
    <x v="1"/>
    <s v="Sub. Logística"/>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0665"/>
    <x v="0"/>
    <s v="Sub. Gestión Corporativa"/>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666"/>
    <x v="0"/>
    <s v="Sub. Gestión Corporativa"/>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No Secop"/>
  </r>
  <r>
    <n v="20250667"/>
    <x v="0"/>
    <s v="Dirección Tic"/>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669"/>
    <x v="1"/>
    <s v="Sub. Operativa"/>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1"/>
    <s v="Si Secop "/>
  </r>
  <r>
    <n v="20250670"/>
    <x v="1"/>
    <s v="Sub. Operativa"/>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1"/>
    <s v="Si Secop "/>
  </r>
  <r>
    <n v="20250671"/>
    <x v="1"/>
    <s v="Sub. Operativa"/>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1"/>
    <s v="Si Secop "/>
  </r>
  <r>
    <n v="20250672"/>
    <x v="1"/>
    <s v="Sub. Operativa"/>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73"/>
    <x v="1"/>
    <s v="Sub. Operativa"/>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301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74"/>
    <x v="1"/>
    <s v="Sub. Operativa"/>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677"/>
    <x v="2"/>
    <s v="Sub. Operativa"/>
    <s v="Yenire Yohansy Lozano Ascanio"/>
    <s v="Adquisición de elementos de protección personal (E.P.P.) para la atención de emergencias de la UAE Cuerpo Oficial de Bomberos de Bogotá"/>
    <s v="06 - contrato de compraventa"/>
    <s v="46181500;_x000a_46181600"/>
    <n v="6"/>
    <n v="6"/>
    <n v="0"/>
    <n v="6000000000"/>
    <x v="1"/>
    <s v="03 - selec. abrev. subasta inversa"/>
    <s v="No aplica"/>
    <s v="NA"/>
    <s v="NA"/>
    <s v="NA"/>
    <s v="N/A"/>
    <s v="N/A"/>
    <s v="N/A-N/A"/>
    <s v="N/A"/>
    <s v="N/A"/>
    <s v="N/A_N/A"/>
    <s v="N/A-N/A N/A_N/A"/>
    <s v="NANANAN/AN/A"/>
    <s v="N/A"/>
    <x v="11"/>
    <s v="Si Secop "/>
  </r>
  <r>
    <n v="20250678"/>
    <x v="0"/>
    <s v="Dirección Tic"/>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No Secop"/>
  </r>
  <r>
    <n v="20250680"/>
    <x v="0"/>
    <s v="Dirección Tic"/>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682"/>
    <x v="1"/>
    <s v="Sub. Gestión Humana"/>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83"/>
    <x v="1"/>
    <s v="Sub. Gestión Humana"/>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84"/>
    <x v="1"/>
    <s v="Sub. Logística"/>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No Secop"/>
  </r>
  <r>
    <n v="20250685"/>
    <x v="2"/>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x v="1"/>
    <s v="01 - licitación pública"/>
    <s v="No aplica"/>
    <s v="NA"/>
    <s v="NA"/>
    <s v="NA"/>
    <s v="N/A"/>
    <s v="N/A"/>
    <s v="N/A-N/A"/>
    <s v="N/A"/>
    <s v="N/A"/>
    <s v="N/A_N/A"/>
    <s v="N/A-N/A N/A_N/A"/>
    <s v="NANANAN/AN/A"/>
    <s v="N/A"/>
    <x v="2"/>
    <s v="Si Secop "/>
  </r>
  <r>
    <n v="20250686"/>
    <x v="0"/>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445347705"/>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8"/>
    <s v="Si Secop "/>
  </r>
  <r>
    <n v="20250687"/>
    <x v="1"/>
    <s v="Sub. Gestión Riesgos"/>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688"/>
    <x v="1"/>
    <s v="Sub. Gestión Riesgos"/>
    <s v="William Tovar Segura"/>
    <s v="Adquisición de elementos de soporte  operacional  para la emergencia_SGR"/>
    <s v="06 - contrato de compraventa"/>
    <s v="56101900_x000a_60131500_x000a_50101904   _x000a_31132100  _x000a_31132300 "/>
    <n v="5"/>
    <n v="4"/>
    <n v="0"/>
    <n v="4000000"/>
    <x v="0"/>
    <s v="17 - acuerdo marco de precios"/>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689"/>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9"/>
    <n v="4"/>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690"/>
    <x v="0"/>
    <s v="Dirección Tic"/>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693"/>
    <x v="2"/>
    <s v="Sub. Gestión Corporativa"/>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s v="No aplica"/>
    <s v="NA"/>
    <s v="NA"/>
    <s v="NA"/>
    <s v="N/A"/>
    <s v="N/A"/>
    <s v="N/A-N/A"/>
    <s v="N/A"/>
    <s v="N/A"/>
    <s v="N/A_N/A"/>
    <s v="N/A-N/A N/A_N/A"/>
    <s v="NANANAN/AN/A"/>
    <s v="N/A"/>
    <x v="2"/>
    <s v="No Secop"/>
  </r>
  <r>
    <n v="20250694"/>
    <x v="1"/>
    <s v="Sub. Gestión Riesgos"/>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04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695"/>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96"/>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97"/>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98"/>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699"/>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700"/>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702"/>
    <x v="1"/>
    <s v="Sub. Logística"/>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4"/>
    <s v="No Secop"/>
  </r>
  <r>
    <n v="20250703"/>
    <x v="1"/>
    <s v="Sub. Logística"/>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8"/>
    <s v="No Secop"/>
  </r>
  <r>
    <n v="20250705"/>
    <x v="0"/>
    <s v="Oficina Asesora de Planeación"/>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706"/>
    <x v="0"/>
    <s v="Oficina Asesora de Planeación"/>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708"/>
    <x v="0"/>
    <s v="Oficina Asesora de Planeación"/>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709"/>
    <x v="0"/>
    <s v="Oficina Asesora de Planeación"/>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Si Secop "/>
  </r>
  <r>
    <n v="20250710"/>
    <x v="0"/>
    <s v="Oficina Juridica"/>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12"/>
    <x v="0"/>
    <s v="Dirección Tic"/>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713"/>
    <x v="1"/>
    <s v="Sub. Logística"/>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3"/>
    <s v="Si Secop "/>
  </r>
  <r>
    <n v="20250714"/>
    <x v="0"/>
    <s v="Sub. Gestión Corporativa"/>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715"/>
    <x v="0"/>
    <s v="Sub. Gestión Corporativa"/>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16"/>
    <x v="1"/>
    <s v="Sub. Gestión Corporativa"/>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717"/>
    <x v="1"/>
    <s v="Sub. Gestión Corporativa"/>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718"/>
    <x v="1"/>
    <s v="Sub. Gestión Corporativa"/>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No Secop"/>
  </r>
  <r>
    <n v="20250719"/>
    <x v="1"/>
    <s v="Sub. Gestión Corporativa"/>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720"/>
    <x v="1"/>
    <s v="Sub. Gestión Corporativa"/>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721"/>
    <x v="2"/>
    <s v="Sub. Gestión Corporativa"/>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s v="No aplica"/>
    <s v="NA"/>
    <s v="NA"/>
    <s v="NA"/>
    <s v="N/A"/>
    <s v="N/A"/>
    <s v="N/A-N/A"/>
    <s v="N/A"/>
    <s v="N/A"/>
    <s v="N/A_N/A"/>
    <s v="N/A-N/A N/A_N/A"/>
    <s v="NANANAN/AN/A"/>
    <s v="N/A"/>
    <x v="17"/>
    <s v="No Secop"/>
  </r>
  <r>
    <n v="20250722"/>
    <x v="0"/>
    <s v="Dirección Tic"/>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0001"/>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724"/>
    <x v="0"/>
    <s v="Dirección Tic"/>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No Secop"/>
  </r>
  <r>
    <n v="20250726"/>
    <x v="0"/>
    <s v="Oficina Juridica"/>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27"/>
    <x v="0"/>
    <s v="Oficina Juridica"/>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28"/>
    <x v="1"/>
    <s v="Sub. Operativa"/>
    <s v="Yenire Yohansy Lozano Ascanio"/>
    <s v="Adquisición de elementos de protección personal (E.P.P.) para la atención de emergencias de la UAE Cuerpo Oficial de Bomberos de Bogotá"/>
    <s v="06 - contrato de compraventa"/>
    <s v="46181500;_x000a_46181600"/>
    <n v="6"/>
    <n v="6"/>
    <n v="0"/>
    <n v="5607172370"/>
    <x v="0"/>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5"/>
    <s v="Si Secop "/>
  </r>
  <r>
    <n v="20250729"/>
    <x v="1"/>
    <s v="Sub. Logística"/>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No Secop"/>
  </r>
  <r>
    <n v="20250730"/>
    <x v="1"/>
    <s v="Sub. Logística"/>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6"/>
    <s v="No Secop"/>
  </r>
  <r>
    <n v="20250731"/>
    <x v="0"/>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7556193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5"/>
    <s v="Si Secop "/>
  </r>
  <r>
    <n v="20250732"/>
    <x v="0"/>
    <s v="Sub. Gestión Corporativa"/>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Si Secop "/>
  </r>
  <r>
    <n v="20250733"/>
    <x v="0"/>
    <s v="Sub. Gestión Corporativa"/>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Si Secop "/>
  </r>
  <r>
    <n v="20250734"/>
    <x v="2"/>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16520528"/>
    <x v="1"/>
    <s v="17 - acuerdo marco de precios"/>
    <s v="No aplica"/>
    <s v="NA"/>
    <s v="NA"/>
    <s v="NA"/>
    <s v="N/A"/>
    <s v="N/A"/>
    <s v="N/A-N/A"/>
    <s v="N/A"/>
    <s v="N/A"/>
    <s v="N/A_N/A"/>
    <s v="N/A-N/A N/A_N/A"/>
    <s v="NANANAN/AN/A"/>
    <s v="N/A"/>
    <x v="2"/>
    <s v="Si Secop "/>
  </r>
  <r>
    <n v="20250735"/>
    <x v="2"/>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66486111"/>
    <x v="1"/>
    <s v="17 - acuerdo marco de precios"/>
    <s v="No aplica"/>
    <s v="NA"/>
    <s v="NA"/>
    <s v="NA"/>
    <s v="N/A"/>
    <s v="N/A"/>
    <s v="N/A-N/A"/>
    <s v="N/A"/>
    <s v="N/A"/>
    <s v="N/A_N/A"/>
    <s v="N/A-N/A N/A_N/A"/>
    <s v="NANANAN/AN/A"/>
    <s v="N/A"/>
    <x v="2"/>
    <s v="Si Secop "/>
  </r>
  <r>
    <n v="20250736"/>
    <x v="0"/>
    <s v="Sub. Gestión Corporativa"/>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3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37"/>
    <x v="2"/>
    <s v="Sub. Gestión Corporativa"/>
    <s v="Fatima Veronica Quintero Nuñez"/>
    <s v="Mantenimiento correctivo y preventivo con suministro de repuestos para los Ascensores Edificio Comando-SGC"/>
    <s v="27 - contrato de prestacion de servicios de mantenimiento"/>
    <s v="72101506;_x000a_72154010;"/>
    <n v="4"/>
    <n v="8"/>
    <n v="0"/>
    <n v="20500000"/>
    <x v="1"/>
    <s v="09 - contratación directa"/>
    <s v="No aplica"/>
    <s v="NA"/>
    <s v="NA"/>
    <s v="NA"/>
    <s v="N/A"/>
    <s v="N/A"/>
    <s v="N/A-N/A"/>
    <s v="N/A"/>
    <s v="N/A"/>
    <s v="N/A_N/A"/>
    <s v="N/A-N/A N/A_N/A"/>
    <s v="NANANAN/AN/A"/>
    <s v="N/A"/>
    <x v="2"/>
    <s v="Si Secop "/>
  </r>
  <r>
    <n v="20250738"/>
    <x v="2"/>
    <s v="Sub. Gestión Corporativa"/>
    <s v="Fatima Veronica Quintero Nuñez"/>
    <s v="Mantenimiento correctivo y preventivo con suministro de repuestos ascensor nueva Estación de Bomberos BELLAVISTA- SGC"/>
    <s v="27 - contrato de prestacion de servicios de mantenimiento"/>
    <s v="72101506;_x000a_72154010;"/>
    <n v="3"/>
    <n v="8"/>
    <n v="0"/>
    <n v="8714800"/>
    <x v="1"/>
    <s v="09 - contratación directa"/>
    <s v="No aplica"/>
    <s v="NA"/>
    <s v="NA"/>
    <s v="NA"/>
    <s v="N/A"/>
    <s v="N/A"/>
    <s v="N/A-N/A"/>
    <s v="N/A"/>
    <s v="N/A"/>
    <s v="N/A_N/A"/>
    <s v="N/A-N/A N/A_N/A"/>
    <s v="NANANAN/AN/A"/>
    <s v="N/A"/>
    <x v="2"/>
    <s v="Si Secop "/>
  </r>
  <r>
    <n v="20250739"/>
    <x v="2"/>
    <s v="Sub. Gestión Corporativa"/>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x v="2"/>
    <s v="91 - n/a acto administrativo (resolución, decreto, acuerdo, etc.)"/>
    <s v="No aplica"/>
    <s v="NA"/>
    <s v="NA"/>
    <s v="NA"/>
    <s v="N/A"/>
    <s v="N/A"/>
    <s v="N/A-N/A"/>
    <s v="N/A"/>
    <s v="N/A"/>
    <s v="N/A_N/A"/>
    <s v="N/A-N/A N/A_N/A"/>
    <s v="NANANAN/AN/A"/>
    <s v="N/A"/>
    <x v="2"/>
    <s v="No Secop"/>
  </r>
  <r>
    <n v="20250740"/>
    <x v="2"/>
    <s v="Sub. Gestión Corporativa"/>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x v="2"/>
    <s v="91 - n/a acto administrativo (resolución, decreto, acuerdo, etc.)"/>
    <s v="No aplica"/>
    <s v="NA"/>
    <s v="NA"/>
    <s v="NA"/>
    <s v="N/A"/>
    <s v="N/A"/>
    <s v="N/A-N/A"/>
    <s v="N/A"/>
    <s v="N/A"/>
    <s v="N/A_N/A"/>
    <s v="N/A-N/A N/A_N/A"/>
    <s v="NANANAN/AN/A"/>
    <s v="N/A"/>
    <x v="2"/>
    <s v="No Secop"/>
  </r>
  <r>
    <n v="20250741"/>
    <x v="2"/>
    <s v="Sub. Gestión Corporativa"/>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x v="2"/>
    <s v="91 - n/a acto administrativo (resolución, decreto, acuerdo, etc.)"/>
    <s v="No aplica"/>
    <s v="NA"/>
    <s v="NA"/>
    <s v="NA"/>
    <s v="N/A"/>
    <s v="N/A"/>
    <s v="N/A-N/A"/>
    <s v="N/A"/>
    <s v="N/A"/>
    <s v="N/A_N/A"/>
    <s v="N/A-N/A N/A_N/A"/>
    <s v="NANANAN/AN/A"/>
    <s v="N/A"/>
    <x v="2"/>
    <s v="No Secop"/>
  </r>
  <r>
    <n v="20250742"/>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743"/>
    <x v="1"/>
    <s v="Sub. Gestión Riesgos"/>
    <s v="William Tovar Segura"/>
    <s v="Prestar servicios profesionales para apoyar la planeación y gestión de las  estrategias de reducción y/o conocimiento del riesgo  para la Subdirección de Gestión del Riesgo.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0744"/>
    <x v="1"/>
    <s v="Sub. Gestión Riesgos"/>
    <s v="William Tovar Segura"/>
    <s v="Prestar servicios profesionales en las actividades de identificacion de escenarios a cargo de la Subdirección de Gestión del Riesgo._SGR"/>
    <s v="25 - contrato de prestacion de servicios profesionales"/>
    <n v="80111600"/>
    <n v="7"/>
    <n v="6"/>
    <n v="0"/>
    <n v="30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745"/>
    <x v="1"/>
    <s v="Sub. Gestión Riesgos"/>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24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1"/>
    <s v="Si Secop "/>
  </r>
  <r>
    <n v="20250746"/>
    <x v="1"/>
    <s v="Sub. Gestión Riesgos"/>
    <s v="William Tovar Segura"/>
    <s v="Prestar  servicios profesionales en las actividades de proyeccion e innovacion para la Subdirección de Gestión del Riesgo._SGR"/>
    <s v="25 - contrato de prestacion de servicios profesionales"/>
    <n v="80111600"/>
    <n v="6"/>
    <n v="6"/>
    <n v="0"/>
    <n v="54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0747"/>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Si Secop "/>
  </r>
  <r>
    <n v="20250749"/>
    <x v="0"/>
    <s v="Dirección Tic"/>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0"/>
    <x v="0"/>
    <s v="Dirección Tic"/>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751"/>
    <x v="0"/>
    <s v="Dirección Tic"/>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3672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2"/>
    <x v="0"/>
    <s v="Dirección Tic"/>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7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753"/>
    <x v="0"/>
    <s v="Dirección Tic"/>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223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4"/>
    <x v="0"/>
    <s v="Dirección Tic"/>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Si Secop "/>
  </r>
  <r>
    <n v="20250755"/>
    <x v="0"/>
    <s v="Dirección Tic"/>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7"/>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6"/>
    <x v="0"/>
    <s v="Dirección Tic"/>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7"/>
    <x v="0"/>
    <s v="Dirección Tic"/>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8"/>
    <x v="0"/>
    <s v="Dirección Tic"/>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0759"/>
    <x v="0"/>
    <s v="Dirección Tic"/>
    <s v="Paula Ximena Henao Escobar"/>
    <s v="Adición y prórroga Cto. 54 de 2025 cuyo objeto es: &quot;Prestar los servicios profesionales jurídicos para apoyar las actividades propias de la gestión contractual que adelanta la UAE Cuerpo Oficial de Bomberos&quot;"/>
    <s v="25 - contrato de prestacion de servicios profesionales"/>
    <n v="80111600"/>
    <n v="2"/>
    <n v="11"/>
    <n v="0"/>
    <n v="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No Secop"/>
  </r>
  <r>
    <n v="20250761"/>
    <x v="0"/>
    <s v="Dirección Tic"/>
    <s v="Paula Ximena Henao Escobar"/>
    <s v="Adición y prórroga Cto. 197 de 2025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No Secop"/>
  </r>
  <r>
    <n v="20250762"/>
    <x v="0"/>
    <s v="Dirección Tic"/>
    <s v="Paula Ximena Henao Escobar"/>
    <s v="Adición y prórroga Cto. 339 de 2025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No Secop"/>
  </r>
  <r>
    <n v="20250763"/>
    <x v="0"/>
    <s v="Dirección Tic"/>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2005000"/>
    <x v="0"/>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764"/>
    <x v="0"/>
    <s v="Dirección Tic"/>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Si Secop "/>
  </r>
  <r>
    <n v="20250765"/>
    <x v="2"/>
    <s v="Dirección Tic"/>
    <s v="Paula Ximena Henao Escobar"/>
    <s v="Renovación de equipos activos de red de la infraestructura tecnológica de la U.A.E. Cuerpo Oficial de Bomberos de Bogotá."/>
    <s v="06 - contrato de compraventa"/>
    <n v="43222600"/>
    <n v="10"/>
    <n v="6"/>
    <n v="0"/>
    <n v="200000000"/>
    <x v="1"/>
    <s v="03 - selec. abrev. subasta inversa"/>
    <s v="No aplica"/>
    <s v="NA"/>
    <s v="NA"/>
    <s v="NA"/>
    <s v="N/A"/>
    <s v="N/A"/>
    <s v="N/A-N/A"/>
    <s v="N/A"/>
    <s v="N/A"/>
    <s v="N/A_N/A"/>
    <s v="N/A-N/A N/A_N/A"/>
    <s v="NANANAN/AN/A"/>
    <s v="N/A"/>
    <x v="2"/>
    <s v="Si Secop "/>
  </r>
  <r>
    <n v="20250766"/>
    <x v="2"/>
    <s v="Dirección Tic"/>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18825489"/>
    <x v="1"/>
    <s v="02 - selec. abrev. menor cuantía"/>
    <s v="No aplica"/>
    <s v="NA"/>
    <s v="NA"/>
    <s v="NA"/>
    <s v="N/A"/>
    <s v="N/A"/>
    <s v="N/A-N/A"/>
    <s v="N/A"/>
    <s v="N/A"/>
    <s v="N/A_N/A"/>
    <s v="N/A-N/A N/A_N/A"/>
    <s v="NANANAN/AN/A"/>
    <s v="N/A"/>
    <x v="21"/>
    <s v="Si Secop "/>
  </r>
  <r>
    <n v="20250767"/>
    <x v="2"/>
    <s v="Dirección Tic"/>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43233200; 81112200; 72151700; 45121600"/>
    <n v="10"/>
    <n v="8"/>
    <n v="0"/>
    <n v="240000000"/>
    <x v="1"/>
    <s v="03 - selec. abrev. subasta inversa"/>
    <s v="No aplica"/>
    <s v="NA"/>
    <s v="NA"/>
    <s v="NA"/>
    <s v="N/A"/>
    <s v="N/A"/>
    <s v="N/A-N/A"/>
    <s v="N/A"/>
    <s v="N/A"/>
    <s v="N/A_N/A"/>
    <s v="N/A-N/A N/A_N/A"/>
    <s v="NANANAN/AN/A"/>
    <s v="N/A"/>
    <x v="2"/>
    <s v="Si Secop "/>
  </r>
  <r>
    <n v="20250768"/>
    <x v="0"/>
    <s v="Oficina de Control Disciplinario Interno"/>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69"/>
    <x v="0"/>
    <s v="Oficina de Control Disciplinario Interno"/>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71"/>
    <x v="1"/>
    <s v="Sub. Gestión Humana"/>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772"/>
    <x v="1"/>
    <s v="Sub. Gestión Humana"/>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0773"/>
    <x v="1"/>
    <s v="Sub. Gestión Humana"/>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No Secop"/>
  </r>
  <r>
    <n v="20250774"/>
    <x v="0"/>
    <s v="Oficina Juridica"/>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2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75"/>
    <x v="0"/>
    <s v="Oficina Juridica"/>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76"/>
    <x v="0"/>
    <s v="Oficina Juridica"/>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77"/>
    <x v="0"/>
    <s v="Oficina Juridica"/>
    <s v="Monica Perez Barragan"/>
    <s v="Prestar los servicios profesionales jurídicos especializados para apoyar el desarrollo de las funciones de la Oficina Jurídica"/>
    <s v="25 - contrato de prestacion de servicios profesionales"/>
    <n v="80111600"/>
    <n v="8"/>
    <n v="5"/>
    <n v="0"/>
    <n v="4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78"/>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79"/>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80"/>
    <x v="0"/>
    <s v="Oficina Juridica"/>
    <s v="Monica Perez Barragan"/>
    <s v="Adición y prórroga al contrato 549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81"/>
    <x v="0"/>
    <s v="Oficina Juridica"/>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82"/>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83"/>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84"/>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85"/>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86"/>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87"/>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88"/>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666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89"/>
    <x v="0"/>
    <s v="Oficina Juridica"/>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0"/>
    <x v="0"/>
    <s v="Oficina Juridica"/>
    <s v="Monica Perez Barragan"/>
    <s v="Adición y prórroga al contrato 034 de 2025 cuyo objeto es: &quot;Prestar los servicios profesionales especializados para la representación judicial  de la Entidad y la prevención del daño antijurídico&quot;."/>
    <s v="25 - contrato de prestacion de servicios profesionales"/>
    <n v="80111600"/>
    <n v="8"/>
    <n v="3"/>
    <n v="0"/>
    <n v="90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791"/>
    <x v="0"/>
    <s v="Oficina Juridica"/>
    <s v="Monica Perez Barragan"/>
    <s v="Prestar los servicios de apoyo para las gestiones administrativas requeridas en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2"/>
    <x v="0"/>
    <s v="Oficina Juridica"/>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3"/>
    <x v="0"/>
    <s v="Oficina Juridica"/>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4"/>
    <x v="0"/>
    <s v="Oficina Juridica"/>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5"/>
    <x v="0"/>
    <s v="Oficina Juridica"/>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96"/>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7"/>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798"/>
    <x v="0"/>
    <s v="Oficina Juridica"/>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799"/>
    <x v="0"/>
    <s v="Oficina Juridica"/>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00"/>
    <x v="0"/>
    <s v="Oficina Juridica"/>
    <s v="Monica Perez Barragan"/>
    <s v="Prestar los servicios profesionales jurídicos para apoyar las actividades propias de la gestión contractual que adelanta la Oficina Jurídica"/>
    <s v="25 - contrato de prestacion de servicios profesionales"/>
    <n v="80111600"/>
    <n v="8"/>
    <n v="5"/>
    <n v="0"/>
    <n v="30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01"/>
    <x v="0"/>
    <s v="Oficina Juridica"/>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02"/>
    <x v="0"/>
    <s v="Oficina Juridica"/>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03"/>
    <x v="1"/>
    <s v="Sub. Logística"/>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7"/>
    <s v="Si Secop "/>
  </r>
  <r>
    <n v="20250804"/>
    <x v="1"/>
    <s v="Sub. Logística"/>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190402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5"/>
    <s v="Si Secop "/>
  </r>
  <r>
    <n v="20250805"/>
    <x v="2"/>
    <s v="Sub. Gestión Corporativa"/>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x v="1"/>
    <s v="02 - selec. abrev. menor cuantía"/>
    <s v="No aplica"/>
    <s v="NA"/>
    <s v="NA"/>
    <s v="NA"/>
    <s v="N/A"/>
    <s v="N/A"/>
    <s v="N/A-N/A"/>
    <s v="N/A"/>
    <s v="N/A"/>
    <s v="N/A_N/A"/>
    <s v="N/A-N/A N/A_N/A"/>
    <s v="NANANAN/AN/A"/>
    <s v="N/A"/>
    <x v="2"/>
    <s v="Si Secop "/>
  </r>
  <r>
    <n v="20250806"/>
    <x v="0"/>
    <s v="Dirección Tic"/>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18069039"/>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3"/>
    <s v="Si Secop "/>
  </r>
  <r>
    <n v="20250807"/>
    <x v="0"/>
    <s v="Oficina Juridica"/>
    <s v="Monica Perez Barragan"/>
    <s v="Brindar apoyo en temas propios de gestión documental de expedientes físicos y de soporte administrativo que se requieran en las actividades desplegadas por la Oficina Jurídica"/>
    <s v="26 - contrato de prestacion de servicios de apoyo a la gestion"/>
    <n v="80111600"/>
    <n v="11"/>
    <n v="3"/>
    <n v="0"/>
    <n v="1020044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808"/>
    <x v="0"/>
    <s v="Oficina Juridica"/>
    <s v="Monica Perez Barragan"/>
    <s v="Prestar los servicios profesionales jurídicos para apoyar las actuaciones procesales y procedimentales de la Oficina Jurídica"/>
    <s v="25 - contrato de prestacion de servicios profesionales"/>
    <n v="80111600"/>
    <n v="5"/>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09"/>
    <x v="1"/>
    <s v="Sub. Gestión Riesgos"/>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2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1"/>
    <s v="Si Secop "/>
  </r>
  <r>
    <n v="20250810"/>
    <x v="0"/>
    <s v="Oficina de Control Disciplinario Interno"/>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811"/>
    <x v="0"/>
    <s v="Oficina de Control Disciplinario Interno"/>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812"/>
    <x v="0"/>
    <s v="Oficina de Control Disciplinario Interno"/>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813"/>
    <x v="0"/>
    <s v="Oficina de Control Disciplinario Interno"/>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14"/>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15"/>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16"/>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17"/>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18"/>
    <x v="0"/>
    <s v="Oficina de Control Disciplinario Interno"/>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0819"/>
    <x v="0"/>
    <s v="Oficina de Control Disciplinario Interno"/>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0820"/>
    <x v="1"/>
    <s v="Sub. Logística"/>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6"/>
    <s v="No Secop"/>
  </r>
  <r>
    <n v="20250821"/>
    <x v="1"/>
    <s v="Sub. Logística"/>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28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7"/>
    <s v="No Secop"/>
  </r>
  <r>
    <n v="20250822"/>
    <x v="1"/>
    <s v="Sub. Operativa"/>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3"/>
    <x v="1"/>
    <s v="Sub. Operativa"/>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4"/>
    <x v="1"/>
    <s v="Sub. Operativa"/>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5"/>
    <x v="1"/>
    <s v="Sub. Operativa"/>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6"/>
    <x v="1"/>
    <s v="Sub. Operativa"/>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7"/>
    <x v="1"/>
    <s v="Sub. Operativa"/>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8"/>
    <x v="1"/>
    <s v="Sub. Operativa"/>
    <s v="Yenire Yohansy Lozano Ascanio"/>
    <s v="ADICIÓN Y PRÓRROGA AL CPS 32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29"/>
    <x v="1"/>
    <s v="Sub. Operativa"/>
    <s v="Yenire Yohansy Lozano Ascanio"/>
    <s v="Prestación de servicios profesionales para  apoyar jurídicamente los  proyectos, procesos y procedimientos a cargo de la Subdirección Operativa-S.O."/>
    <s v="25 - contrato de prestacion de servicios profesionales"/>
    <n v="80111600"/>
    <n v="8"/>
    <n v="5"/>
    <n v="0"/>
    <n v="42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1"/>
    <s v="Si Secop "/>
  </r>
  <r>
    <n v="20250830"/>
    <x v="2"/>
    <s v="Sub. Gestión Humana"/>
    <s v="Jose Andres Ponce Caicedo"/>
    <s v="UTILIZACIÓN LISTA DE ELEGIBLES CNSC PARA PROVISIÓN DE VACANTES"/>
    <s v="12 - resolucion"/>
    <s v="N/A"/>
    <n v="8"/>
    <n v="1"/>
    <n v="0"/>
    <n v="74022000"/>
    <x v="1"/>
    <s v="91 - n/a acto administrativo (resolución, decreto, acuerdo, etc.)"/>
    <s v="No aplica"/>
    <s v="NA"/>
    <s v="NA"/>
    <s v="NA"/>
    <s v="N/A"/>
    <s v="N/A"/>
    <s v="N/A-N/A"/>
    <s v="N/A"/>
    <s v="N/A"/>
    <s v="N/A_N/A"/>
    <s v="N/A-N/A N/A_N/A"/>
    <s v="NANANAN/AN/A"/>
    <s v="N/A"/>
    <x v="2"/>
    <s v="Si Secop "/>
  </r>
  <r>
    <n v="20250831"/>
    <x v="1"/>
    <s v="Sub. Gestión Humana"/>
    <s v="Jose Andres Ponce Caicedo"/>
    <s v="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
    <s v="12 - resolucion"/>
    <s v="N/A"/>
    <s v="N/A"/>
    <s v="N/A"/>
    <s v="N/A"/>
    <n v="2100000"/>
    <x v="2"/>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832"/>
    <x v="0"/>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5"/>
    <s v="Si Secop "/>
  </r>
  <r>
    <n v="20250833"/>
    <x v="2"/>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1"/>
    <s v="17 - acuerdo marco de precios"/>
    <s v="No aplica"/>
    <s v="NA"/>
    <s v="NA"/>
    <s v="NA"/>
    <s v="N/A"/>
    <s v="N/A"/>
    <s v="N/A-N/A"/>
    <s v="N/A"/>
    <s v="N/A"/>
    <s v="N/A_N/A"/>
    <s v="N/A-N/A N/A_N/A"/>
    <s v="NANANAN/AN/A"/>
    <s v="N/A"/>
    <x v="2"/>
    <s v="Si Secop "/>
  </r>
  <r>
    <n v="20250834"/>
    <x v="2"/>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x v="1"/>
    <s v="17 - acuerdo marco de precios"/>
    <s v="No aplica"/>
    <s v="NA"/>
    <s v="NA"/>
    <s v="NA"/>
    <s v="N/A"/>
    <s v="N/A"/>
    <s v="N/A-N/A"/>
    <s v="N/A"/>
    <s v="N/A"/>
    <s v="N/A_N/A"/>
    <s v="N/A-N/A N/A_N/A"/>
    <s v="NANANAN/AN/A"/>
    <s v="N/A"/>
    <x v="2"/>
    <s v="Si Secop "/>
  </r>
  <r>
    <n v="20250835"/>
    <x v="1"/>
    <s v="Sub. Gestión Corporativa"/>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836"/>
    <x v="1"/>
    <s v="Sub. Gestión Corporativa"/>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837"/>
    <x v="1"/>
    <s v="Sub. Gestión Corporativa"/>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4"/>
    <s v="No Secop"/>
  </r>
  <r>
    <n v="20250838"/>
    <x v="0"/>
    <s v="Sub. Gestión Corporativa"/>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No Secop"/>
  </r>
  <r>
    <n v="20250839"/>
    <x v="0"/>
    <s v="Sub. Gestión Corporativa"/>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40"/>
    <x v="0"/>
    <s v="Sub. Gestión Corporativa"/>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41"/>
    <x v="0"/>
    <s v="Sub. Gestión Corporativa"/>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42"/>
    <x v="0"/>
    <s v="Sub. Gestión Corporativa"/>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43"/>
    <x v="0"/>
    <s v="Sub. Gestión Corporativa"/>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845"/>
    <x v="0"/>
    <s v="Oficina Asesora de Planeación"/>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No Secop"/>
  </r>
  <r>
    <n v="20250846"/>
    <x v="0"/>
    <s v="Oficina Asesora de Planeación"/>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847"/>
    <x v="0"/>
    <s v="Oficina Asesora de Planeación"/>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No Secop"/>
  </r>
  <r>
    <n v="20250848"/>
    <x v="0"/>
    <s v="Oficina Asesora de Planeación"/>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849"/>
    <x v="0"/>
    <s v="Oficina Asesora de Planeación"/>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Si Secop "/>
  </r>
  <r>
    <n v="20250850"/>
    <x v="0"/>
    <s v="Oficina Asesora de Planeación"/>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851"/>
    <x v="0"/>
    <s v="Oficina Asesora de Planeación"/>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852"/>
    <x v="0"/>
    <s v="Oficina Asesora de Planeación"/>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x v="0"/>
    <s v="No Secop"/>
  </r>
  <r>
    <n v="20250854"/>
    <x v="0"/>
    <s v="Dirección comunicaciones y Prensa"/>
    <s v="Paula Ximena Henao Escobar"/>
    <s v="Adición y prórroga al Contrato 072 de 2025 con objeto &quot;Prestación de servicios de profesionales a la gestión en la Dirección para el acompañamiento en las labores administrativas en asuntos de Comunicaciones y Prensa de la UAECOB&quot;"/>
    <s v="25 - contrato de prestacion de servicios profesionales"/>
    <n v="80111600"/>
    <n v="8"/>
    <n v="3"/>
    <n v="0"/>
    <n v="15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0855"/>
    <x v="1"/>
    <s v="Sub. Gestión Corporativa"/>
    <s v="Fatima Veronica Quintero Nuñez"/>
    <s v="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
    <s v="06 - contrato de compraventa"/>
    <s v="24121807;_x000a_47121709;_x000a_55121704;_x000a_55121705;_x000a_55121718"/>
    <n v="8"/>
    <n v="2"/>
    <n v="0"/>
    <n v="2610727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22"/>
    <s v="Si Secop "/>
  </r>
  <r>
    <n v="20250856"/>
    <x v="1"/>
    <s v="Sub. Gestión Corporativa"/>
    <s v="Fatima Veronica Quintero Nuñez"/>
    <s v="Adquisición de lavadoras industriales para las instalaciones de la UAE Cuerpo Oficial de Bomberos de Bogotá-SGC"/>
    <s v="06 - contrato de compraventa"/>
    <s v="47111500; 47111700"/>
    <n v="8"/>
    <n v="3"/>
    <n v="0"/>
    <n v="300000000"/>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0857"/>
    <x v="1"/>
    <s v="Sub. Gestión Corporativa"/>
    <s v="Fatima Veronica Quintero Nuñez"/>
    <s v="Adquisicion de equipos gasodomésticos y solares para las instalaciones de la UAE Cuerpo Oficial de Bomberos -SGC"/>
    <s v="06 - contrato de compraventa"/>
    <s v="48101500; 40101800; 40102000"/>
    <n v="9"/>
    <n v="3"/>
    <n v="0"/>
    <n v="108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0858"/>
    <x v="1"/>
    <s v="Sub. Gestión Corporativa"/>
    <s v="Fatima Veronica Quintero Nuñez"/>
    <s v="Adquisicion de equipos electrodomésticos para las instalaciones de la UAE Cuerpo Oficial de Bomberos- SGC"/>
    <s v="06 - contrato de compraventa"/>
    <s v="24131500;_x000a_52141500;_x000a_52151600;_x000a_ 52152000;_x000a_52152300; _x000a_52161500;"/>
    <n v="9"/>
    <n v="3"/>
    <n v="0"/>
    <n v="117026028"/>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0859"/>
    <x v="1"/>
    <s v="Sub. Gestión Corporativa"/>
    <s v="Fatima Veronica Quintero Nuñez"/>
    <s v="Adquisicion de equipos de gimnasio para las instalaciones de la UAE Cuerpo Oficial de Bomberos- SGC"/>
    <s v="06 - contrato de compraventa"/>
    <s v="49201501; 49201503; 49201516; _x000a_ 49201604"/>
    <n v="9"/>
    <n v="3"/>
    <n v="0"/>
    <n v="66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0860"/>
    <x v="1"/>
    <s v="Sub. Gestión Corporativa"/>
    <s v="Fatima Veronica Quintero Nuñez"/>
    <s v="Adquisición de banderas con astas y accesorios para las sedes UAECOB-SGC"/>
    <s v="06 - contrato de compraventa"/>
    <s v="55121715;"/>
    <n v="8"/>
    <n v="2"/>
    <n v="0"/>
    <n v="20905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23"/>
    <s v="Si Secop "/>
  </r>
  <r>
    <n v="20250861"/>
    <x v="1"/>
    <s v="Sub. Gestión Corporativa"/>
    <s v="Fatima Veronica Quintero Nuñez"/>
    <s v="Adquisición de elementos para el fortalecimiento de la imagen institucional y la identidad visual de la UAECOB-SGC"/>
    <s v="06 - contrato de compraventa"/>
    <s v="72154000;_x000a_55121900;_x000a_60121400;_x000a_52101500;_x000a_55121700;"/>
    <n v="9"/>
    <n v="2"/>
    <n v="0"/>
    <n v="43060571"/>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24"/>
    <s v="Si Secop "/>
  </r>
  <r>
    <n v="20250862"/>
    <x v="1"/>
    <s v="Sub. Gestión Corporativa"/>
    <s v="Fatima Veronica Quintero Nuñez"/>
    <s v="Adquisición de Estanteria proceso de Gestión Documental UAECOB-SGC"/>
    <s v="06 - contrato de compraventa"/>
    <s v="24102000;"/>
    <n v="8"/>
    <n v="2"/>
    <n v="0"/>
    <n v="685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0863"/>
    <x v="1"/>
    <s v="Sub. Gestión Corporativa"/>
    <s v="Fatima Veronica Quintero Nuñez"/>
    <s v="Adquisición de mobiliario y elementos para la dotación de las instalaciones de la UAE Cuerpo Oficial de Bomberos Bogotá- SGC"/>
    <s v="06 - contrato de compraventa"/>
    <s v="56101500;_x000a_56101700;_x000a_56101900;_x000a_56111500"/>
    <n v="10"/>
    <n v="2"/>
    <n v="0"/>
    <n v="1299751486"/>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25"/>
    <s v="Si Secop "/>
  </r>
  <r>
    <n v="20250864"/>
    <x v="1"/>
    <s v="Sub. Gestión Corporativa"/>
    <s v="Fatima Veronica Quintero Nuñez"/>
    <s v="Adquisición de elementos de menaje para la UAECOB-SGC"/>
    <s v="06 - contrato de compraventa"/>
    <s v="48101800;_x000a_48101915;_x000a_24112601;_x000a_49121509;"/>
    <n v="8"/>
    <n v="3"/>
    <n v="0"/>
    <n v="2999909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26"/>
    <s v="Si Secop "/>
  </r>
  <r>
    <n v="20250865"/>
    <x v="0"/>
    <s v="Sub. Gestión Corporativa"/>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9458595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8"/>
    <s v="No Secop"/>
  </r>
  <r>
    <n v="20250866"/>
    <x v="2"/>
    <s v="Sub. Gestión Corporativa"/>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25414050"/>
    <x v="1"/>
    <s v="02 - selec. abrev. menor cuantía"/>
    <s v="No aplica"/>
    <s v="NA"/>
    <s v="NA"/>
    <s v="NA"/>
    <s v="N/A"/>
    <s v="N/A"/>
    <s v="N/A-N/A"/>
    <s v="N/A"/>
    <s v="N/A"/>
    <s v="N/A_N/A"/>
    <s v="N/A-N/A N/A_N/A"/>
    <s v="NANANAN/AN/A"/>
    <s v="N/A"/>
    <x v="2"/>
    <s v="No Secop"/>
  </r>
  <r>
    <n v="20250867"/>
    <x v="0"/>
    <s v="Oficina Asesora de Planeación"/>
    <s v="Manuel Eduardo Castillo Guzman"/>
    <s v="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
    <s v="25 - contrato de prestacion de servicios profesionales"/>
    <n v="80111600"/>
    <n v="11"/>
    <n v="1"/>
    <n v="0"/>
    <n v="1095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No Secop"/>
  </r>
  <r>
    <n v="20250868"/>
    <x v="1"/>
    <s v="Sub. Gestión Riesgos"/>
    <s v="William Tovar Segura"/>
    <s v="Adicion y prorroga CTO  71-2025 &quot;Prestar servicios de apoyo administrativos apoyando a la Subdirección de Gestión del Riesgo con lo relacionado al seguimiento y control de sus solicitudes y peticiones._SGR"/>
    <s v="26 - contrato de prestacion de servicios de apoyo a la gestion"/>
    <n v="80111600"/>
    <n v="9"/>
    <n v="3"/>
    <n v="0"/>
    <n v="12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869"/>
    <x v="1"/>
    <s v="Sub. Gestión Riesgos"/>
    <s v="William Tovar Segura"/>
    <s v="Adicion y prorroga CTO  179-2025  Prestar sus servicios profesionales en las actividades relacionadas con la emision de conceptos a cargo de la Subdirección de Gestión del Riesgo._SGR"/>
    <s v="25 - contrato de prestacion de servicios profesionales"/>
    <n v="80111600"/>
    <n v="9"/>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870"/>
    <x v="1"/>
    <s v="Sub. Gestión Riesgos"/>
    <s v="William Tovar Segura"/>
    <s v="Adicion y prorroga CTO  145-2025 Prestar servicios profesionales en las actividades de identificacion de escenarios a cargo de la Subdirección de Gestión del Riesgo._SGR"/>
    <s v="25 - contrato de prestacion de servicios profesionales"/>
    <n v="80111600"/>
    <n v="9"/>
    <n v="3"/>
    <n v="0"/>
    <n v="21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871"/>
    <x v="1"/>
    <s v="Sub. Gestión Riesgos"/>
    <s v="William Tovar Segura"/>
    <s v="Adicion  y prorroga CTO 496-2025 Adquisición de elementos de identificación institucional para el programa comunitario de prevención de incendios forestales_SGR."/>
    <s v="08 - contrato de suministro"/>
    <s v="53103100_x000a_53102500"/>
    <n v="8"/>
    <n v="1"/>
    <n v="0"/>
    <n v="4116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872"/>
    <x v="1"/>
    <s v="Sub. Gestión Riesgos"/>
    <s v="William Tovar Segura"/>
    <s v="Adicion y Prorroga Cto 96 -2025 Prestar servicios profesionales en las actividades de identificacion de escenarios a cargo de la Subdirección de Gestión del Riesgo._SGR"/>
    <s v="25 - contrato de prestacion de servicios profesionales"/>
    <n v="80111600"/>
    <n v="9"/>
    <n v="3"/>
    <n v="0"/>
    <n v="165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873"/>
    <x v="1"/>
    <s v="Sub. Gestión Riesgos"/>
    <s v="William Tovar Segura"/>
    <s v="Adicion  y prorroga CTO 788-2024 Adquisición de elementos de identificación institucional para el personal de la UAECOB _SGR."/>
    <s v="08 - contrato de suministro"/>
    <s v="11000000_x000a_53101800_x000a_53101802_x000a_53101804"/>
    <n v="8"/>
    <n v="1"/>
    <n v="0"/>
    <n v="579886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0874"/>
    <x v="1"/>
    <s v="Sub. Gestión Riesgos"/>
    <s v="William Tovar Segura"/>
    <s v="Adicion y prorroga CTO 177-2025  Prestar servicios profesionales en las actividades de identificacion de escenarios a cargo de la Subdirección de Gestión del Riesgo._SGR"/>
    <s v="25 - contrato de prestacion de servicios profesionales"/>
    <n v="80111600"/>
    <n v="9"/>
    <n v="3"/>
    <n v="0"/>
    <n v="1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875"/>
    <x v="1"/>
    <s v="Sub. Gestión Riesgos"/>
    <s v="William Tovar Segura"/>
    <s v="Adicion y prorroga CTO 74-2025 prestar servicios profesionales liderando las actividades de caracterización de escenarios y monitoreo de gestión del riesgo.SGR"/>
    <s v="25 - contrato de prestacion de servicios profesionales"/>
    <n v="80111600"/>
    <n v="9"/>
    <n v="4"/>
    <n v="0"/>
    <n v="3185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876"/>
    <x v="1"/>
    <s v="Sub. Gestión Riesgos"/>
    <s v="William Tovar Segura"/>
    <s v="Adicion y prorroga CTO  114-2025 Prestar sus servicios profesionales en las actividad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877"/>
    <x v="1"/>
    <s v="Sub. Gestión Riesgos"/>
    <s v="William Tovar Segura"/>
    <s v="Adicion y prorroga Cto 108-2025 Prestar servicios profesionales para realizar las actividda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878"/>
    <x v="1"/>
    <s v="Sub. Gestión Riesgos"/>
    <s v="William Tovar Segura"/>
    <s v="Adicion y prorroga  CTO  169-2025 Prestar servicios profesionales en las actividades de Programas y Campañas de Prevención para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0879"/>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0"/>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1"/>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15"/>
    <n v="10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2"/>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3"/>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4"/>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5"/>
    <x v="1"/>
    <s v="Sub. Operativa"/>
    <s v="Yenire Yohansy Lozano Ascanio"/>
    <s v="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
    <s v="25 - contrato de prestacion de servicios profesionales"/>
    <n v="80111600"/>
    <n v="9"/>
    <n v="3"/>
    <n v="0"/>
    <n v="2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0886"/>
    <x v="1"/>
    <s v="Sub. Operativa"/>
    <s v="Yenire Yohansy Lozano Ascanio"/>
    <s v="ADICIÓN Y PRÓRROGA AL CPS 328-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87"/>
    <x v="1"/>
    <s v="Sub. Operativa"/>
    <s v="Yenire Yohansy Lozano Ascanio"/>
    <s v="ADICIÓN Y PRÓRROGA AL CPS 34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88"/>
    <x v="1"/>
    <s v="Sub. Operativa"/>
    <s v="Yenire Yohansy Lozano Ascanio"/>
    <s v="ADICIÓN Y PRÓRROGA AL CPS 350-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89"/>
    <x v="1"/>
    <s v="Sub. Operativa"/>
    <s v="Yenire Yohansy Lozano Ascanio"/>
    <s v="ADICIÓN Y PRÓRROGA AL CPS 39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0"/>
    <x v="1"/>
    <s v="Sub. Operativa"/>
    <s v="Yenire Yohansy Lozano Ascanio"/>
    <s v="ADICIÓN Y PRÓRROGA AL CPS 419-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1"/>
    <x v="1"/>
    <s v="Sub. Operativa"/>
    <s v="Yenire Yohansy Lozano Ascanio"/>
    <s v="ADICIÓN Y PRÓRROGA AL CPS 423-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2"/>
    <x v="1"/>
    <s v="Sub. Operativa"/>
    <s v="Yenire Yohansy Lozano Ascanio"/>
    <s v="ADICIÓN Y PRÓRROGA AL CPS 42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3"/>
    <x v="1"/>
    <s v="Sub. Operativa"/>
    <s v="Yenire Yohansy Lozano Ascanio"/>
    <s v="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
    <s v="25 - contrato de prestacion de servicios profesionales"/>
    <n v="80111600"/>
    <n v="10"/>
    <n v="2"/>
    <n v="15"/>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4"/>
    <x v="1"/>
    <s v="Sub. Operativa"/>
    <s v="Yenire Yohansy Lozano Ascanio"/>
    <s v="ADICIÓN Y PRÓRROGA AL CPS 364-2025 cuyo objeto es: Prestación de servicios para apoyar la gestión administrativa y documental requerida a cargo de la Subdirección Operativa S.O."/>
    <s v="26 - contrato de prestacion de servicios de apoyo a la gestion"/>
    <n v="80111600"/>
    <n v="11"/>
    <n v="2"/>
    <n v="0"/>
    <n v="6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5"/>
    <x v="1"/>
    <s v="Sub. Operativa"/>
    <s v="Yenire Yohansy Lozano Ascanio"/>
    <s v="ADICIÓN Y PRÓRROGA AL CPS 40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6"/>
    <x v="1"/>
    <s v="Sub. Operativa"/>
    <s v="Yenire Yohansy Lozano Ascanio"/>
    <s v="ADICIÓN Y PRÓRROGA AL CPS 46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7"/>
    <x v="1"/>
    <s v="Sub. Operativa"/>
    <s v="Yenire Yohansy Lozano Ascanio"/>
    <s v="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
    <s v="25 - contrato de prestacion de servicios profesionales"/>
    <n v="80111600"/>
    <n v="12"/>
    <n v="0"/>
    <n v="13"/>
    <n v="2166667"/>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8"/>
    <x v="1"/>
    <s v="Sub. Operativa"/>
    <s v="Yenire Yohansy Lozano Ascanio"/>
    <s v="ADICIÓN Y PRÓRROGA AL CPS 191-2025 cuyo objeto es: prestación de servicios de apoyo para desarrollar y mantener las condiciones básicas de bienestar de los caninos y de animales rescatados o recuperados que atiende el grupo brae a cargo de la subdirección operativa s.o."/>
    <s v="25 - contrato de prestacion de servicios profesionales"/>
    <n v="80111600"/>
    <n v="12"/>
    <n v="0"/>
    <n v="9"/>
    <n v="107578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899"/>
    <x v="1"/>
    <s v="Sub. Operativa"/>
    <s v="Yenire Yohansy Lozano Ascanio"/>
    <s v="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12"/>
    <n v="0"/>
    <n v="21"/>
    <n v="49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900"/>
    <x v="1"/>
    <s v="Sub. Operativa"/>
    <s v="Yenire Yohansy Lozano Ascanio"/>
    <s v="ADICIÓN Y PRÓRROGA AL CPS 236-2025 cuyo objeto es: prestación de servicios de apoyo para ejecutar las actividades administrativas, de gestión , trámite, seguimiento y verificación de solicitudes recibidas en el canal de comunicación de gestión operativa. - s.o."/>
    <s v="25 - contrato de prestacion de servicios profesionales"/>
    <n v="80111600"/>
    <n v="12"/>
    <n v="0"/>
    <n v="5"/>
    <n v="5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902"/>
    <x v="1"/>
    <s v="Sub. Operativa"/>
    <s v="Yenire Yohansy Lozano Ascanio"/>
    <s v="ADICIÓN Y PRÓRROGA AL CPS 307-2025 cuyo objeto es: prestación de servicios profesionales para ejecutar las actividades misionales en la elaboración, diseño y diagramación de piezas requeridas para los planes, programas, proyectos y procedimientos-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903"/>
    <x v="1"/>
    <s v="Sub. Operativa"/>
    <s v="Yenire Yohansy Lozano Ascanio"/>
    <s v="ADICIÓN Y PRÓRROGA AL CPS 488-2025 cuyo objeto es: Prestación de servicios de apoyo para desarrollar y mantener las condiciones básicas de bienestar de los caninos y de  animales rescatados o recuperados que atiende el grupo BRAE a Cargo de la Subdirección Operativa "/>
    <s v="25 - contrato de prestacion de servicios profesionales"/>
    <n v="80111600"/>
    <n v="12"/>
    <n v="0"/>
    <n v="14"/>
    <n v="167344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0904"/>
    <x v="1"/>
    <s v="Sub. Gestión Riesgos"/>
    <s v="William Tovar Segura"/>
    <s v="Adición y prorroga cto 158-2025  &quot; Prestar servicios profesionales a la Subdirección de Gestión del Riesgo liderando las actividades del proceso de inspecciones técnicas del Riesgo._SGR&quot;"/>
    <s v="25 - contrato de prestacion de servicios profesionales"/>
    <n v="80111600"/>
    <n v="9"/>
    <n v="3"/>
    <n v="15"/>
    <n v="3185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05"/>
    <x v="1"/>
    <s v="Sub. Gestión Riesgos"/>
    <s v="William Tovar Segura"/>
    <s v="Adición y prorroga cto 238-2025 &quot;Prestar servicios profesionales para la gestión de la SGR, estructurando el seguimiento de los procesos contractuales y seguimiento de los proyectos de inversión de la UAECOB._SGR&quot;"/>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906"/>
    <x v="1"/>
    <s v="Sub. Gestión Riesgos"/>
    <s v="William Tovar Segura"/>
    <s v="Adición y prorroga cto 418-2025 &quot;prestar servicios profesionales para las actividades de la Subdireccion de Gestion del Riesgo relacionadas con la gestion de los aspectos tecnologicos e informaticos._SGR&quot;"/>
    <s v="25 - contrato de prestacion de servicios profesionales"/>
    <n v="80111600"/>
    <n v="11"/>
    <n v="1"/>
    <n v="0"/>
    <n v="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907"/>
    <x v="1"/>
    <s v="Sub. Gestión Riesgos"/>
    <s v="William Tovar Segura"/>
    <s v="Adición y prorroga cto 273-2025 Prestar servicios de apoyo a la gestión como conductor en la Subdirección de Gestión del Riesgo._SGR"/>
    <s v="26 - contrato de prestacion de servicios de apoyo a la gestion"/>
    <n v="80111600"/>
    <n v="12"/>
    <n v="1"/>
    <n v="0"/>
    <n v="3750000"/>
    <x v="0"/>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08"/>
    <x v="1"/>
    <s v="Sub. Gestión Riesgos"/>
    <s v="William Tovar Segura"/>
    <s v="Adición y prorroga cto  84-2025 Prestar  servicios profesionales en las actividades de proyeccion e innovacion para la Subdirección de Gestión del Riesgo._SGR"/>
    <s v="25 - contrato de prestacion de servicios profesionales"/>
    <n v="80111600"/>
    <n v="12"/>
    <n v="1"/>
    <n v="0"/>
    <n v="8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09"/>
    <x v="1"/>
    <s v="Sub. Gestión Riesgos"/>
    <s v="William Tovar Segura"/>
    <s v="Adición y prorroga cto   344-2025  Prestar servicios profesionales en las actividades de monitoreo del riesgo para la Subdirección de Gestión del Riesgo._SGR"/>
    <s v="25 - contrato de prestacion de servicios profesionales"/>
    <n v="80111600"/>
    <n v="11"/>
    <n v="1"/>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10"/>
    <x v="1"/>
    <s v="Sub. Gestión Riesgos"/>
    <s v="William Tovar Segura"/>
    <s v="Adición y prorroga cto  341-2025 Prestar  servicios profesionales en las actividades de proyeccion e innovacion para la Subdirección de Gestión del Riesgo._SGR"/>
    <s v="25 - contrato de prestacion de servicios profesionales"/>
    <n v="80111600"/>
    <n v="11"/>
    <n v="2"/>
    <n v="0"/>
    <n v="12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11"/>
    <x v="1"/>
    <s v="Sub. Gestión Riesgos"/>
    <s v="William Tovar Segura"/>
    <s v="Adición y prorroga cto 206-2025  Prestar sus servicios profesionales en las actividades relacionadas con la emision de conceptos a cargo de la Subdirección de Gestión del Riesgo._SGR"/>
    <s v="25 - contrato de prestacion de servicios profesionales"/>
    <n v="80111600"/>
    <n v="10"/>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12"/>
    <x v="1"/>
    <s v="Sub. Gestión Riesgos"/>
    <s v="William Tovar Segura"/>
    <s v="Adición y prorroga cto 335-2025 Prestar sus servicios de apoyo tecnico para realizar las inspecciones relacionadas con la emision de conceptos a cargo de la Subdirección de Gestión del Riesgo._SGR"/>
    <s v="26 - contrato de prestacion de servicios de apoyo a la gestion"/>
    <n v="80111600"/>
    <n v="10"/>
    <n v="2"/>
    <n v="0"/>
    <n v="88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13"/>
    <x v="1"/>
    <s v="Sub. Gestión Riesgos"/>
    <s v="William Tovar Segura"/>
    <s v="Adición y prorroga cto 365-2025 Prestar servicios profesionales en las actividades de monitoreo del riesgo para la Subdirección de Gestión del Riesgo._SGR"/>
    <s v="25 - contrato de prestacion de servicios profesionales"/>
    <n v="80111600"/>
    <n v="11"/>
    <n v="2"/>
    <n v="0"/>
    <n v="10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14"/>
    <x v="1"/>
    <s v="Sub. Gestión Riesgos"/>
    <s v="William Tovar Segura"/>
    <s v="Adición y prorroga cto 299-2025 Prestar servicios de apoyo a la gestion en las actividades de monitoreo del riesgo para la Subdirección de Gestión del Riesgo._SGR"/>
    <s v="26 - contrato de prestacion de servicios de apoyo a la gestion"/>
    <n v="80111600"/>
    <n v="10"/>
    <n v="3"/>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15"/>
    <x v="1"/>
    <s v="Sub. Gestión Riesgos"/>
    <s v="William Tovar Segura"/>
    <s v="Adición y prorroga cto  433-2025 Prestar servicios profesionales en las actividades de monitoreo del riesgo para la Subdirección de Gestión del Riesgo._SGR"/>
    <s v="25 - contrato de prestacion de servicios profesionales"/>
    <n v="80111600"/>
    <n v="11"/>
    <n v="1"/>
    <n v="0"/>
    <n v="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No Secop"/>
  </r>
  <r>
    <n v="20250916"/>
    <x v="1"/>
    <s v="Sub. Gestión Riesgos"/>
    <s v="William Tovar Segura"/>
    <s v="Adición y prorroga cto  204-2025  Prestar servicios de apoyo en las actividades de Programas y Campañas de Prevención para la Subdirección de Gestión del Riesgo._SGR"/>
    <s v="26 - contrato de prestacion de servicios de apoyo a la gestion"/>
    <n v="80111600"/>
    <n v="10"/>
    <n v="3"/>
    <n v="0"/>
    <n v="10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0917"/>
    <x v="1"/>
    <s v="Sub. Gestión Riesgos"/>
    <s v="William Tovar Segura"/>
    <s v="Adición y prorroga cto 192-2025 Prestar servicios profesionales para la gestión de la SGR, en su compomente técnico, administrativo y análisis financiero._SGR."/>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0918"/>
    <x v="1"/>
    <s v="Sub. Gestión Riesgos"/>
    <s v="William Tovar Segura"/>
    <s v="Adición y prorroga ct 37-2025 Prestar sus servicios profesionales en las actividades relacionadas con la emision de conceptos a cargo de la Subdirección de Gestión del Riesgo._SGR"/>
    <s v="25 - contrato de prestacion de servicios profesionales"/>
    <n v="80111600"/>
    <n v="9"/>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19"/>
    <x v="1"/>
    <s v="Sub. Gestión Riesgos"/>
    <s v="William Tovar Segura"/>
    <s v="Adición y prorroga ct 185-2025 Prestar sus servicios profesionales en las actividades relacionadas con la emision de conceptos a cargo de la Subdirección de Gestión del Riesgo._SGR"/>
    <s v="25 - contrato de prestacion de servicios profesionales"/>
    <n v="80111600"/>
    <n v="10"/>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0"/>
    <x v="1"/>
    <s v="Sub. Gestión Riesgos"/>
    <s v="William Tovar Segura"/>
    <s v=" Adición y prorroga ct 76-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1"/>
    <x v="1"/>
    <s v="Sub. Gestión Riesgos"/>
    <s v="William Tovar Segura"/>
    <s v=" Adición y prorroga ct 21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2"/>
    <x v="1"/>
    <s v="Sub. Gestión Riesgos"/>
    <s v="William Tovar Segura"/>
    <s v=" Adición y prorroga ct 3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3"/>
    <x v="1"/>
    <s v="Sub. Gestión Riesgos"/>
    <s v="William Tovar Segura"/>
    <s v=" Adición y prorroga ct 22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4"/>
    <x v="1"/>
    <s v="Sub. Gestión Riesgos"/>
    <s v="William Tovar Segura"/>
    <s v=" Adición y prorroga ct 4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5"/>
    <x v="1"/>
    <s v="Sub. Gestión Riesgos"/>
    <s v="William Tovar Segura"/>
    <s v="  Adición y prorroga ct 304 -2025 Prestar sus servicios de apoyo tecnico para realizar las inspecciones relacionadas con la emision de conceptos a cargo de la Subdirección de Gestión del Riesgo._SGR"/>
    <s v="26 - contrato de prestacion de servicios de apoyo a la gestion"/>
    <n v="80111600"/>
    <n v="10"/>
    <n v="1"/>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6"/>
    <x v="1"/>
    <s v="Sub. Gestión Riesgos"/>
    <s v="William Tovar Segura"/>
    <s v="  Adición y prorroga ct 188 -2025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7"/>
    <x v="1"/>
    <s v="Sub. Gestión Riesgos"/>
    <s v="William Tovar Segura"/>
    <s v="  Adición y prorroga ct 283 -2025 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x v="0"/>
    <s v="No Secop"/>
  </r>
  <r>
    <n v="20250928"/>
    <x v="1"/>
    <s v="Sub. Gestión Riesgos"/>
    <s v="William Tovar Segura"/>
    <s v="  Adición y prorroga ct 381 -2025 Prestar servicios profesionales en los procesos de formacion y capacitacion de la subdirección de gestión del riesgo._SGR"/>
    <s v="25 - contrato de prestacion de servicios profesionales"/>
    <n v="80111600"/>
    <n v="11"/>
    <n v="1"/>
    <n v="15"/>
    <n v="9333333"/>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0929"/>
    <x v="1"/>
    <s v="Sub. Gestión Riesgos"/>
    <s v="William Tovar Segura"/>
    <s v="  Adición y prorroga ct 142-2025 Prestar servicios profesionales para la gestión de la SGR, estructurando el seguimiento de los procesos contractuales y demás aspectos jurídicos._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1"/>
    <s v="No Secop"/>
  </r>
  <r>
    <n v="20250930"/>
    <x v="1"/>
    <s v="Sub. Gestión Riesgos"/>
    <s v="William Tovar Segura"/>
    <s v="  Adición y prorroga ct 140-2025 Prestar servicios profesionales para el seguimiento de los componentes administrativo, técnico y financiero de la subdireccíon de Gestión del Riesgo. 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0931"/>
    <x v="1"/>
    <s v="Sub. Logística"/>
    <s v="Omer Mauricio Rivera Ruiz"/>
    <s v="Adicion y prorroga del Contrato 324 2025 cuyo objeto es  &quot;Prestar servicios de apoyo en asuntos administrativos, financieros, documentales y emisión de informes a cargo de la Subdireccion Logística-SBLG&quot;.  "/>
    <s v="26 - contrato de prestacion de servicios de apoyo a la gestion"/>
    <n v="80111600"/>
    <n v="10"/>
    <n v="3"/>
    <n v="0"/>
    <n v="98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2"/>
    <x v="1"/>
    <s v="Sub. Logística"/>
    <s v="Omer Mauricio Rivera Ruiz"/>
    <s v="Adicion y prorroga del Contrato 475 2025 cuyo objeto es: &quot;Prestar servicios profesionales para el seguimiento y gestión de las actividades establecidas en los planes de acción y estratégicos; así como, de los procesos de planeación y administrativos propios de Subdirección Logística - SBLG&quot;. "/>
    <s v="25 - contrato de prestacion de servicios profesionales"/>
    <n v="80111600"/>
    <n v="10"/>
    <n v="2"/>
    <n v="13"/>
    <n v="109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3"/>
    <x v="1"/>
    <s v="Sub. Logística"/>
    <s v="Omer Mauricio Rivera Ruiz"/>
    <s v="Adicion y prorroga del Contrato 102 2025 cuyo objeto es: &quot;Prestación de servicios profesionales en la proyección y seguimiento de las etapas precontractual, contractual y postcontractual que desarrolle la Subdirección Logística en el ámbito de su competencia.- SBLG&quot;"/>
    <s v="25 - contrato de prestacion de servicios profesionales"/>
    <n v="80111600"/>
    <n v="10"/>
    <n v="3"/>
    <n v="9"/>
    <n v="2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4"/>
    <x v="1"/>
    <s v="Sub. Logística"/>
    <s v="Omer Mauricio Rivera Ruiz"/>
    <s v="Adicion y prorroga del Contrato 302 2025 cuyo objeto es: &quot;Prestación de servicios profesionales, para apoyar la estructuración y seguimiento de los asuntos contractuales y jurídicos que requiera la Subdirección Logística en el ámbito de su competencia.- SBLG&quot;."/>
    <s v="25 - contrato de prestacion de servicios profesionales"/>
    <n v="80111600"/>
    <n v="10"/>
    <n v="3"/>
    <n v="0"/>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5"/>
    <x v="1"/>
    <s v="Sub. Logística"/>
    <s v="Omer Mauricio Rivera Ruiz"/>
    <s v="Adicion y prorroga del Contrato 282 2025 cuyo objeto es: &quot;Prestación de servicios profesionales para realizar el seguimiento y monitoreo a los diferentes procesos y procedimientos del equipo menor a cargo de la Subdirección Logística -  - SBLG&quot;."/>
    <s v="25 - contrato de prestacion de servicios profesionales"/>
    <n v="80111600"/>
    <n v="10"/>
    <n v="3"/>
    <n v="0"/>
    <n v="16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6"/>
    <x v="1"/>
    <s v="Sub. Logística"/>
    <s v="Omer Mauricio Rivera Ruiz"/>
    <s v="Adicion y prorroga del Contrato 159 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0"/>
    <n v="2"/>
    <n v="21"/>
    <n v="175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0937"/>
    <x v="2"/>
    <s v="Sub. Gestión Corporativa"/>
    <s v="Fatima Veronica Quintero Nuñez"/>
    <s v="Adición No. 8 y prórroga No.10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_x000a_80101500;_x000a_80101600;_x000a_80161500;_x000a_81111900;_x000a_81112000"/>
    <n v="4"/>
    <n v="4"/>
    <n v="0"/>
    <n v="34872950"/>
    <x v="1"/>
    <s v="01 - licitación pública"/>
    <s v="No aplica"/>
    <s v="NA"/>
    <s v="NA"/>
    <s v="NA"/>
    <s v="N/A"/>
    <s v="N/A"/>
    <s v="N/A-N/A"/>
    <s v="N/A"/>
    <s v="N/A"/>
    <s v="N/A_N/A"/>
    <s v="N/A-N/A N/A_N/A"/>
    <s v="NANANAN/AN/A"/>
    <s v="N/A"/>
    <x v="2"/>
    <s v="No Secop"/>
  </r>
  <r>
    <n v="20250938"/>
    <x v="0"/>
    <s v="Sub. Gestión Corporativa"/>
    <s v="Fatima Veronica Quintero Nuñez"/>
    <s v="Adición No.1 al contrato 483 de 2025 que tiene por objeto &quot;Suministro de materiales, equipos y herramientas para el mejoramiento integral de las instalaciones de la UAE Cuerpo Oficial de Bomberos -SGC"/>
    <s v="08 - contrato de suministro"/>
    <s v="23131500;_x000a_23271800; _x000a_26111700; _x000a_26121500; _x000a_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10"/>
    <n v="0"/>
    <n v="0"/>
    <n v="10545458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No Secop"/>
  </r>
  <r>
    <n v="20250939"/>
    <x v="2"/>
    <s v="Sub. Gestión Corporativa"/>
    <s v="Fatima Veronica Quintero Nuñez"/>
    <s v="Adición No. 1 y prórroga No. 2 al contrato 396 de 2024 que tiene por objeto&quot; 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s v="27 - contrato de prestacion de servicios de mantenimiento"/>
    <s v="91111602;_x000d__x000a_47101568;_x000d__x000a_49241712;_x000d__x000a_"/>
    <n v="10"/>
    <n v="5"/>
    <n v="0"/>
    <n v="9300000"/>
    <x v="1"/>
    <s v="27 - contrato de prestacion de servicios de mantenimiento"/>
    <s v="No aplica"/>
    <s v="NA"/>
    <s v="NA"/>
    <s v="NA"/>
    <s v="N/A"/>
    <s v="N/A"/>
    <s v="N/A-N/A"/>
    <s v="N/A"/>
    <s v="N/A"/>
    <s v="N/A_N/A"/>
    <s v="N/A-N/A N/A_N/A"/>
    <s v="NANANAN/AN/A"/>
    <s v="N/A"/>
    <x v="2"/>
    <s v="No Secop"/>
  </r>
  <r>
    <n v="20250940"/>
    <x v="0"/>
    <s v="Dirección"/>
    <s v="Paula Ximena Henao Escobar"/>
    <s v="Adición y prórroga al contrato 237-2025 con objeto &quo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quot;"/>
    <s v="25 - contrato de prestacion de servicios profesionales"/>
    <n v="80111600"/>
    <n v="8"/>
    <n v="3"/>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41"/>
    <x v="0"/>
    <s v="Dirección comunicaciones y Prensa"/>
    <s v="Paula Ximena Henao Escobar"/>
    <s v="Adición y prórroga al contrato 209-2025 con objeto &quot;Prestar servicios de apoyo a la gestión en asuntos de comunicaciones y prensa para realizar labores de diseño y diagramación de productos editoriales de la UAECOB&quot;"/>
    <s v="26 - contrato de prestacion de servicios de apoyo a la gestion"/>
    <n v="80111600"/>
    <n v="8"/>
    <n v="3"/>
    <n v="0"/>
    <n v="13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0942"/>
    <x v="1"/>
    <s v="Sub. Gestión Humana"/>
    <s v="Jose Andres Ponce Caicedo"/>
    <s v="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10"/>
    <n v="3"/>
    <n v="0"/>
    <n v="2117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3"/>
    <x v="1"/>
    <s v="Sub. Gestión Humana"/>
    <s v="Jose Andres Ponce Caicedo"/>
    <s v="Adición y prórroga al contrato 110 de 2025, SGH - Prestar sus servicios profesionales en la Subdirección de Gestión Humana, en los procesos contractuales y demás actividades relacionadas con la Subdirección de Gestión Humana"/>
    <s v="25 - contrato de prestacion de servicios profesionales"/>
    <n v="80111600"/>
    <n v="10"/>
    <n v="3"/>
    <n v="0"/>
    <n v="12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4"/>
    <x v="1"/>
    <s v="Sub. Gestión Humana"/>
    <s v="Jose Andres Ponce Caicedo"/>
    <s v="Adición y prórroga al contrato 263 de 2025, SGH - Prestar servicios profesionales para apoyar el programa de desórdenes musculo esqueléticos de la UAE Cuerpo Oficial de Bomberos de Bogotá."/>
    <s v="25 - contrato de prestacion de servicios profesionales"/>
    <n v="80111600"/>
    <n v="10"/>
    <n v="2"/>
    <n v="0"/>
    <n v="1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5"/>
    <x v="1"/>
    <s v="Sub. Gestión Humana"/>
    <s v="Jose Andres Ponce Caicedo"/>
    <s v="Adición y prórroga al contrato 162 de 2025, SGH - Prestar sus servicios profesionales en la Subdirección de Gestión Humana, en la administración de sistema de seguridad y salud en el trabajo"/>
    <s v="25 - contrato de prestacion de servicios profesionales"/>
    <n v="80111600"/>
    <n v="10"/>
    <n v="2"/>
    <n v="0"/>
    <n v="1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6"/>
    <x v="1"/>
    <s v="Sub. Gestión Humana"/>
    <s v="Jose Andres Ponce Caicedo"/>
    <s v="Adición y prórroga al contrato 078 de 2025, SGH - Prestar servicios profesionales especializados para desarrollar actividades jurídicas en atención a los distintos requerimientos de la Subdirección de Gestión Human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No Secop"/>
  </r>
  <r>
    <n v="20250947"/>
    <x v="1"/>
    <s v="Sub. Gestión Humana"/>
    <s v="Jose Andres Ponce Caicedo"/>
    <s v="Adición y prórroga al contrato 093 de 2025, 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0"/>
    <n v="14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8"/>
    <x v="1"/>
    <s v="Sub. Gestión Humana"/>
    <s v="Jose Andres Ponce Caicedo"/>
    <s v="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49"/>
    <x v="1"/>
    <s v="Sub. Gestión Humana"/>
    <s v="Jose Andres Ponce Caicedo"/>
    <s v="Adición y prórroga al contrato 107 de 2025, SGH - Prestar sus servicios profesionales en la gestión contractual y presupuestal de la Subdirección de Gestión Humana de la UAE Cuerpo Oficial de Bomberos."/>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0950"/>
    <x v="0"/>
    <s v="Sub. Gestión Corporativa"/>
    <s v="Fatima Veronica Quintero Nuñez"/>
    <s v="Adición y prórroga No. 1 al contrato No. 098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7"/>
    <n v="624022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1"/>
    <x v="0"/>
    <s v="Sub. Gestión Corporativa"/>
    <s v="Fatima Veronica Quintero Nuñez"/>
    <s v="Adición y prórroga No. 1 al contrato No. 314 de 2025 que tiene como objeto &quot;Prestación de servicios profesionales para articular la gestión en la ejecución de los planes y programas de servicio al ciudadano a cargo de la Subdirección de Gestión Corporativa-SGC"/>
    <s v="25 - contrato de prestacion de servicios profesionales"/>
    <s v="80111600;"/>
    <n v="10"/>
    <n v="2"/>
    <n v="13"/>
    <n v="2218150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2"/>
    <x v="0"/>
    <s v="Sub. Gestión Corporativa"/>
    <s v="Fatima Veronica Quintero Nuñez"/>
    <s v="Adición y prórroga No. 1 al contrato No. 153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0"/>
    <n v="22"/>
    <n v="240850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3"/>
    <x v="0"/>
    <s v="Sub. Gestión Corporativa"/>
    <s v="Fatima Veronica Quintero Nuñez"/>
    <s v="Adición y prórroga No. 1 al contrato No. 03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7"/>
    <n v="405067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4"/>
    <x v="0"/>
    <s v="Sub. Gestión Corporativa"/>
    <s v="Fatima Veronica Quintero Nuñez"/>
    <s v="Adición y prórroga No. 1 al contrato No. 100 de 2025 que tiene como objeto &quot;Prestación de servicios de apoyo a la gestión en la ejecución de los planes y programas de servicio al ciudadano a cargo de la Subdirección de Gestión Corporativa. -SGC"/>
    <s v="26 - contrato de prestacion de servicios de apoyo a la gestion"/>
    <s v="80111600;"/>
    <n v="10"/>
    <n v="0"/>
    <n v="26"/>
    <n v="284641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5"/>
    <x v="0"/>
    <s v="Sub. Gestión Corporativa"/>
    <s v="Fatima Veronica Quintero Nuñez"/>
    <s v="Adición y prórroga No. 1 al contrato No. 327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10"/>
    <n v="1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6"/>
    <x v="0"/>
    <s v="Sub. Gestión Corporativa"/>
    <s v="Fatima Veronica Quintero Nuñez"/>
    <s v="Adición y prórroga No. 1 al contrato No. 171 de 2025 que tiene como objeto &quot; Prestación de servicios de apoyo a la gestión en la ejecución de los planes y programas de servicio al ciudadano a cargo de la Subdirección de Gestión Corporativa. -SGC"/>
    <s v="26 - contrato de prestacion de servicios de apoyo a la gestion"/>
    <s v="80111600;"/>
    <n v="10"/>
    <n v="1"/>
    <n v="11"/>
    <n v="448858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7"/>
    <x v="0"/>
    <s v="Sub. Gestión Corporativa"/>
    <s v="Fatima Veronica Quintero Nuñez"/>
    <s v="Adición y prórroga No. 1 al contrato No. 028 de 2025 que tiene como objeto &quot;Prestación de servicios profesionales en la Subdirección de Gestión Corporativa adelantando las actividades necesarias para la ejecución del programa y los procesos de seguros de la Entidad-SGC"/>
    <s v="25 - contrato de prestacion de servicios profesionales"/>
    <s v="80111600;"/>
    <n v="10"/>
    <n v="3"/>
    <n v="4"/>
    <n v="25066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8"/>
    <x v="0"/>
    <s v="Sub. Gestión Corporativa"/>
    <s v="Fatima Veronica Quintero Nuñez"/>
    <s v="Adición y prórroga No. 1 al contrato No. 343 de 2025 que tiene como objeto &quot; Prestación de servicios de apoyo en la gestión de seguros de la Subdirección de Gestión Corporativa. –SGC"/>
    <s v="26 - contrato de prestacion de servicios de apoyo a la gestion"/>
    <s v="80111600;"/>
    <n v="10"/>
    <n v="2"/>
    <n v="11"/>
    <n v="101523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59"/>
    <x v="0"/>
    <s v="Sub. Gestión Corporativa"/>
    <s v="Fatima Veronica Quintero Nuñez"/>
    <s v="Adición y prórroga No. 1 al contrato No. 252 de 2025 que tiene como objeto &quot; Prestación de servicios profesionales para apoyar a la Subdirección de Gestión Corporativa aplicando los procesos y procedimientos de seguros e inventarios -SGC"/>
    <s v="25 - contrato de prestacion de servicios profesionales"/>
    <s v="80111600;"/>
    <n v="10"/>
    <n v="2"/>
    <n v="0"/>
    <n v="1032217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0"/>
    <x v="0"/>
    <s v="Sub. Gestión Corporativa"/>
    <s v="Fatima Veronica Quintero Nuñez"/>
    <s v="Adición y prórroga No. 1 al contrato No. 239 de 2025 que tiene como objeto &quot; Prestación de servicios de apoyo a la gestión de seguros de la Subdirección de Gestión Corporativa. –SGC"/>
    <s v="26 - contrato de prestacion de servicios de apoyo a la gestion"/>
    <s v="80111600;"/>
    <n v="10"/>
    <n v="1"/>
    <n v="1"/>
    <n v="33938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1"/>
    <x v="0"/>
    <s v="Sub. Gestión Corporativa"/>
    <s v="Fatima Veronica Quintero Nuñez"/>
    <s v="Adición y prórroga No. 1 al contrato No. 174 de 2025 que tiene como objeto &quot;Prestación de servicios profesionales en la Subdirección de Gestión Corporativa en las actividades relacionadas con MIPG-SGC"/>
    <s v="25 - contrato de prestacion de servicios profesionales"/>
    <s v="80111600;"/>
    <n v="10"/>
    <n v="1"/>
    <n v="19"/>
    <n v="1204253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2"/>
    <x v="0"/>
    <s v="Sub. Gestión Corporativa"/>
    <s v="Fatima Veronica Quintero Nuñez"/>
    <s v="Adición y prórroga No. 1 al contrato No. 371 de 2025 que tiene como objeto &quot; Prestar servicios profesionales para realizar acompañamiento jurídico en la elaboración de los procesos contractuales adelantados por la Subdirección Gestión Corporativa - SGC"/>
    <s v="25 - contrato de prestacion de servicios profesionales"/>
    <s v="80111600;"/>
    <n v="10"/>
    <n v="1"/>
    <n v="5"/>
    <n v="793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963"/>
    <x v="0"/>
    <s v="Sub. Gestión Corporativa"/>
    <s v="Fatima Veronica Quintero Nuñez"/>
    <s v="Adición y prórroga No. 1 al contrato No. 243 de 2025 que tiene como objeto &quot; Prestación de servicios de apoyo a la gestión del proceso de inventarios de la Subdirección de Gestión Corporativa.-SGC"/>
    <s v="26 - contrato de prestacion de servicios de apoyo a la gestion"/>
    <s v="80111600;"/>
    <n v="10"/>
    <n v="0"/>
    <n v="25"/>
    <n v="234594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4"/>
    <x v="0"/>
    <s v="Sub. Gestión Corporativa"/>
    <s v="Fatima Veronica Quintero Nuñez"/>
    <s v="Adición y prórroga No. 1 al contrato No. 265 de 2025 que tiene como objeto &quot; Prestación de servicios de apoyo a la gestión del proceso de inventarios de la Subdirección de Gestión Corporativa.-SGC"/>
    <s v="26 - contrato de prestacion de servicios de apoyo a la gestion"/>
    <s v="80111600;"/>
    <n v="10"/>
    <n v="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5"/>
    <x v="0"/>
    <s v="Sub. Gestión Corporativa"/>
    <s v="Fatima Veronica Quintero Nuñez"/>
    <s v="Adición y prórroga No. 1 al contrato No. 315 de 2025 que tiene como objeto &quot; Prestación de servicios de apoyo a la gestión del proceso de inventarios de la Subdirección de Gestión Corporativa.-SGC"/>
    <s v="26 - contrato de prestacion de servicios de apoyo a la gestion"/>
    <s v="80111600;"/>
    <n v="10"/>
    <n v="0"/>
    <n v="18"/>
    <n v="16890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6"/>
    <x v="0"/>
    <s v="Sub. Gestión Corporativa"/>
    <s v="Fatima Veronica Quintero Nuñez"/>
    <s v="Adición y prórroga No. 1 al contrato No. 124 de 2025 que tiene como objeto &quot;Prestación de servicios de apoyo a la gestión del proceso de inventarios de la Subdirección de Gestión Corporativa.-SGC"/>
    <s v="26 - contrato de prestacion de servicios de apoyo a la gestion"/>
    <s v="80111600;"/>
    <n v="10"/>
    <n v="1"/>
    <n v="27"/>
    <n v="5348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7"/>
    <x v="0"/>
    <s v="Sub. Gestión Corporativa"/>
    <s v="Fatima Veronica Quintero Nuñez"/>
    <s v="Adición y prórroga No. 1 al contrato No. 099 de 2025 que tiene como objeto &quot;Prestar servicios profesionales en la Subdirección de Gestión Corporativa en lo relacionado con los procesos de inventarios, almacén y bajas-SGC"/>
    <s v="25 - contrato de prestacion de servicios profesionales"/>
    <s v="80111600;"/>
    <n v="10"/>
    <n v="2"/>
    <n v="2"/>
    <n v="1653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8"/>
    <x v="0"/>
    <s v="Sub. Gestión Corporativa"/>
    <s v="Fatima Veronica Quintero Nuñez"/>
    <s v="Adición y prórroga No. 1 al contrato No. 189 de 2025 que tiene como objeto &quot; Prestar servicios profesionales para desarrollar e implementar sistemas de información, brindar soporte, mantenimiento y generar interoperabilidad en la Subdirección de Gestión Corporativa -SGC"/>
    <s v="25 - contrato de prestacion de servicios profesionales"/>
    <s v="80111600;"/>
    <n v="10"/>
    <n v="2"/>
    <n v="11"/>
    <n v="17726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69"/>
    <x v="0"/>
    <s v="Sub. Gestión Corporativa"/>
    <s v="Fatima Veronica Quintero Nuñez"/>
    <s v="Adición y prórroga No. 1 al contrato No. 212 de 2025 que tiene como objeto &quot; Prestación de servicios profesionales para la ejecución de los procesos contables que se desarrollan en el Área Financiera de la UAE Cuerpo Oficial de Bomberos asignados.-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0"/>
    <x v="0"/>
    <s v="Sub. Gestión Corporativa"/>
    <s v="Fatima Veronica Quintero Nuñez"/>
    <s v="Adición y prórroga No. 1 al contrato No. 215 de 2025 que tiene como objeto &quot; Prestación de servicios de apoyo a la gestión documental de la Subdirección de Gestión Corporativa de la Unidad.-SGC"/>
    <s v="26 - contrato de prestacion de servicios de apoyo a la gestion"/>
    <s v="80111600;"/>
    <n v="10"/>
    <n v="1"/>
    <n v="7"/>
    <n v="347200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1"/>
    <x v="0"/>
    <s v="Sub. Gestión Corporativa"/>
    <s v="Fatima Veronica Quintero Nuñez"/>
    <s v="Adición y prórroga No. 1 al contrato No. 176 de 2025 que tiene como objeto &quot; Prestación de servicios de apoyo a la gestión documental de la Subdirección de Gestión Corporativa de la Unidad.-SGC"/>
    <s v="26 - contrato de prestacion de servicios de apoyo a la gestion"/>
    <s v="80111600;"/>
    <n v="10"/>
    <n v="1"/>
    <n v="11"/>
    <n v="503820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2"/>
    <x v="0"/>
    <s v="Sub. Gestión Corporativa"/>
    <s v="Fatima Veronica Quintero Nuñez"/>
    <s v="Adición y prórroga No. 1 al contrato No. 007 de 2025 que tiene como objeto &quot;Prestación de servicios de apoyo a la gestión documental de la Subdirección de Gestión Corporativa de la Unidad.-SGC"/>
    <s v="26 - contrato de prestacion de servicios de apoyo a la gestion"/>
    <s v="80111600;"/>
    <n v="10"/>
    <n v="0"/>
    <n v="6"/>
    <n v="56302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3"/>
    <x v="0"/>
    <s v="Sub. Gestión Corporativa"/>
    <s v="Fatima Veronica Quintero Nuñez"/>
    <s v="Adición y prórroga No. 1 al contrato No. 087 de 2025 que tiene como objeto &quot;Prestación de servicios de apoyo a la gestión documental de la Subdirección de Gestión Corporativa de la Unidad.-SGC"/>
    <s v="26 - contrato de prestacion de servicios de apoyo a la gestion"/>
    <s v="80111600;"/>
    <n v="10"/>
    <n v="2"/>
    <n v="28"/>
    <n v="909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4"/>
    <x v="0"/>
    <s v="Sub. Gestión Corporativa"/>
    <s v="Fatima Veronica Quintero Nuñez"/>
    <s v="Adición y prórroga No. 1 al contrato No. 193 de 2025 que tiene como objeto &quot; 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10"/>
    <n v="0"/>
    <n v="18"/>
    <n v="30966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5"/>
    <x v="0"/>
    <s v="Sub. Gestión Corporativa"/>
    <s v="Fatima Veronica Quintero Nuñez"/>
    <s v="Adición y prórroga No. 1 al contrato No. 333 de 2025 que tiene como objeto &quot;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10"/>
    <n v="0"/>
    <n v="10"/>
    <n v="172036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6"/>
    <x v="0"/>
    <s v="Sub. Gestión Corporativa"/>
    <s v="Fatima Veronica Quintero Nuñez"/>
    <s v="Adición y prórroga No. 1 al contrato No. 170 de 2025 que tiene como objeto &quot;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10"/>
    <n v="1"/>
    <n v="16"/>
    <n v="7913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7"/>
    <x v="0"/>
    <s v="Sub. Gestión Corporativa"/>
    <s v="Fatima Veronica Quintero Nuñez"/>
    <s v="Adición y prórroga No. 1 al contrato No. 288 de 2025 que tiene como objeto &quot; Prestar los servicios profesionales para la gestión administrativa y operativa de la Subdirección de Gestión Corporativa en el proceso de adquisición de bienes y servicios - SGC"/>
    <s v="25 - contrato de prestacion de servicios profesionales"/>
    <s v="80111600;"/>
    <n v="10"/>
    <n v="0"/>
    <n v="12"/>
    <n v="27347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8"/>
    <x v="0"/>
    <s v="Sub. Gestión Corporativa"/>
    <s v="Fatima Veronica Quintero Nuñez"/>
    <s v="Adición y prórroga No. 1 al contrato No. 260 de 2025 que tiene como objeto &quot; Prestación de servicios de apoyo a la gestión en la Subdirección de Gestión Corporativa, en las actividades asociadas a los procesos y procedimientos del almacén de la Entidad.- SGC"/>
    <s v="26 - contrato de prestacion de servicios de apoyo a la gestion"/>
    <s v="80111600;"/>
    <n v="10"/>
    <n v="1"/>
    <n v="0"/>
    <n v="36864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79"/>
    <x v="0"/>
    <s v="Sub. Gestión Corporativa"/>
    <s v="Fatima Veronica Quintero Nuñez"/>
    <s v="Adición y prórroga No. 1 al contrato No. 131 de 2025 que tiene como objeto &quot; Prestar servicios profesionales en la Subdirección de Gestión Corporativa en el marco de las actividades administrativas de la Dependencia.-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0"/>
    <x v="0"/>
    <s v="Sub. Gestión Corporativa"/>
    <s v="Fatima Veronica Quintero Nuñez"/>
    <s v="Adición y prórroga No. 1 al contrato No. 357 de 2025 que tiene como objeto &quot; Prestación de servicios profesionales, en temas jurídicos de la gestión administrativa a cargo de la Subdirección de Gestión Corporativa.- SGC"/>
    <s v="25 - contrato de prestacion de servicios profesionales"/>
    <s v="80111600;"/>
    <n v="10"/>
    <n v="0"/>
    <n v="22"/>
    <n v="378479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981"/>
    <x v="0"/>
    <s v="Sub. Gestión Corporativa"/>
    <s v="Fatima Veronica Quintero Nuñez"/>
    <s v="Adición y prórroga No. 1 al contrato No. 151 de 2025 que tiene como objeto &quot;Prestación de servicios profesionales para adelantar actividades técnicas y trámites administrativos del Área de Infraestructura de la Subdirección de Gestión Corporativa-SGC"/>
    <s v="25 - contrato de prestacion de servicios profesionales"/>
    <s v="80111600;"/>
    <n v="10"/>
    <n v="1"/>
    <n v="25"/>
    <n v="1351713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2"/>
    <x v="0"/>
    <s v="Sub. Gestión Corporativa"/>
    <s v="Fatima Veronica Quintero Nuñez"/>
    <s v="Adición y prórroga No. 1 al contrato No. 080 de 2025 que tiene como objeto &quot;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2"/>
    <n v="1"/>
    <n v="183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3"/>
    <x v="0"/>
    <s v="Sub. Gestión Corporativa"/>
    <s v="Fatima Veronica Quintero Nuñez"/>
    <s v="Adición y prórroga No. 1 al contrato No. 085 de 2025 que tiene como objeto &quot;Prestación de Servicios Profesionales para la formulación, seguimiento y ejecución de procesos presupuestales y financieros a cargo de la Subdirección de Gestión Corporativa-SGC"/>
    <s v="25 - contrato de prestacion de servicios profesionales"/>
    <s v="80111600;"/>
    <n v="10"/>
    <n v="2"/>
    <n v="12"/>
    <n v="2226201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4"/>
    <x v="0"/>
    <s v="Sub. Gestión Corporativa"/>
    <s v="Fatima Veronica Quintero Nuñez"/>
    <s v="Adición y prórroga No. 1 al contrato No. 166 de 2025 que tiene como objeto &quot;Prestar servicios profesionales especializados para acompañar jurídicamente los procesos y procedimientos del área de infraestructura de la Subdirección de Gestión Corporativa. SGC"/>
    <s v="25 - contrato de prestacion de servicios profesionales"/>
    <s v="80111600;"/>
    <n v="10"/>
    <n v="1"/>
    <n v="24"/>
    <n v="16696512.00000000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985"/>
    <x v="0"/>
    <s v="Sub. Gestión Corporativa"/>
    <s v="Fatima Veronica Quintero Nuñez"/>
    <s v="Adición y prórroga No. 1 al contrato No. 332 de 2025 que tiene como objeto &quot; Prestación de servicios profesionales para apoyar las actividades técnicas del Área de Infraestructura de la Subdirección de Gestión Corporativa-SGC"/>
    <s v="25 - contrato de prestacion de servicios profesionales"/>
    <s v="80111600;"/>
    <n v="10"/>
    <n v="0"/>
    <n v="12"/>
    <n v="294919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6"/>
    <x v="0"/>
    <s v="Sub. Gestión Corporativa"/>
    <s v="Fatima Veronica Quintero Nuñez"/>
    <s v="Adición y prórroga No. 1 al contrato No. 366 de 2025 que tiene como objeto &quot; Prestar los servicios como conductor de la Subdirección de Gestión Corporativa -SGC"/>
    <s v="26 - contrato de prestacion de servicios de apoyo a la gestion"/>
    <s v="80111600;"/>
    <n v="10"/>
    <n v="0"/>
    <n v="4"/>
    <n v="46133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7"/>
    <x v="0"/>
    <s v="Sub. Gestión Corporativa"/>
    <s v="Fatima Veronica Quintero Nuñez"/>
    <s v="Adición y prórroga No. 1 al contrato No. 13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8"/>
    <x v="0"/>
    <s v="Sub. Gestión Corporativa"/>
    <s v="Fatima Veronica Quintero Nuñez"/>
    <s v="Adición y prórroga No. 1 al contrato No. 015 de 2025 que tiene como objeto &quot;Prestación de servicios profesionales al área Financiera de la Subdirección de Gestión Corporativa--SGC"/>
    <s v="25 - contrato de prestacion de servicios profesionales"/>
    <s v="80111600;"/>
    <n v="10"/>
    <n v="2"/>
    <n v="11"/>
    <n v="1427677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89"/>
    <x v="0"/>
    <s v="Sub. Gestión Corporativa"/>
    <s v="Fatima Veronica Quintero Nuñez"/>
    <s v="Adición y prórroga No. 1 al contrato No. 014 de 2025 que tiene como objeto &quot;Prestación de servicios profesionales al área Financiera de la Subdirección de Gestión Corporativa--SGC"/>
    <s v="25 - contrato de prestacion de servicios profesionales"/>
    <s v="80111600;"/>
    <n v="10"/>
    <n v="2"/>
    <n v="10"/>
    <n v="140756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0"/>
    <x v="0"/>
    <s v="Sub. Gestión Corporativa"/>
    <s v="Fatima Veronica Quintero Nuñez"/>
    <s v="Adición y prórroga No. 1 al contrato No. 041 de 2025 que tiene como objeto &quot;Prestación de servicios de apoyo a la gestión del área Financiera de la Subdirección de Gestión Corporativa.-SGC"/>
    <s v="26 - contrato de prestacion de servicios de apoyo a la gestion"/>
    <s v="80111600;"/>
    <n v="10"/>
    <n v="2"/>
    <n v="20"/>
    <n v="1197550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1"/>
    <x v="0"/>
    <s v="Sub. Gestión Corporativa"/>
    <s v="Fatima Veronica Quintero Nuñez"/>
    <s v="Adición y prórroga No. 1 al contrato No. 225 de 2025 que tiene como objeto &quot; Prestación de servicios profesionales para el seguimiento, ejecución de los procesos de gestión de pagos que se desarrollan en el área Financiera de la UAE Cuerpo Oficial de Bomberos asignados. -SGC"/>
    <s v="25 - contrato de prestacion de servicios profesionales"/>
    <s v="80111600;"/>
    <n v="10"/>
    <n v="1"/>
    <n v="4"/>
    <n v="6836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2"/>
    <x v="0"/>
    <s v="Sub. Gestión Corporativa"/>
    <s v="Fatima Veronica Quintero Nuñez"/>
    <s v="Adición y prórroga No. 1 al contrato No. 358 de 2025 que tiene como objeto &quot; Prestación de servicios profesionales especializados para apoyar las actividades de seguimiento técnico del Área de Infraestructura de la Subdirección de Gestión Corporativa-SGC"/>
    <s v="25 - contrato de prestacion de servicios profesionales"/>
    <s v="80111600;"/>
    <n v="10"/>
    <n v="0"/>
    <n v="4"/>
    <n v="123677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3"/>
    <x v="0"/>
    <s v="Sub. Gestión Corporativa"/>
    <s v="Fatima Veronica Quintero Nuñez"/>
    <s v="Adición y prórroga No. 1 al contrato No. 311 de 2025 que tiene como objeto &quot; Prestar servicios profesionales para realizar acompañamiento juridico en la elaboración de los procesos contractuales adelantados por la Subdirección Gestión Corporativa - SGC"/>
    <s v="25 - contrato de prestacion de servicios profesionales"/>
    <s v="80111600;"/>
    <n v="10"/>
    <n v="3"/>
    <n v="12"/>
    <n v="2211894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994"/>
    <x v="0"/>
    <s v="Sub. Gestión Corporativa"/>
    <s v="Fatima Veronica Quintero Nuñez"/>
    <s v="Adición y prórroga No. 1 al contrato No. 187 de 2025 que tiene como objeto &quot; Prestación de servicios profesionales especializados para articular y revisar los procesos y procedimientos de la gestión administrativa a cargo de la Subdirección de Gestión Corporativa.- SGC"/>
    <s v="25 - contrato de prestacion de servicios profesionales"/>
    <s v="80111600;"/>
    <n v="10"/>
    <n v="1"/>
    <n v="20"/>
    <n v="154597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5"/>
    <x v="0"/>
    <s v="Sub. Gestión Corporativa"/>
    <s v="Fatima Veronica Quintero Nuñez"/>
    <s v="Adición y prórroga No. 1 al contrato No. 228 de 2025 que tiene como objeto &quot; 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10"/>
    <n v="1"/>
    <n v="0"/>
    <n v="927584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0996"/>
    <x v="0"/>
    <s v="Sub. Gestión Corporativa"/>
    <s v="Fatima Veronica Quintero Nuñez"/>
    <s v="Adición y prórroga No. 1 al contrato No. 376 de 2025 que tiene como objeto &quot; Prestación de servicios de apoyo en las actividades asociadas a los procesos de almacén de la Subdirección de Gestión Corporativa SGC"/>
    <s v="26 - contrato de prestacion de servicios de apoyo a la gestion"/>
    <s v="80111600;"/>
    <n v="10"/>
    <n v="1"/>
    <n v="3"/>
    <n v="361276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7"/>
    <x v="0"/>
    <s v="Sub. Gestión Corporativa"/>
    <s v="Fatima Veronica Quintero Nuñez"/>
    <s v="Adición y prórroga No. 1 al contrato No. 392 de 2025 que tiene como objeto &quot; Prestación de servicios de apoyo a la gestión de los procesos contractuales en la plataforma SECOP II a cargo de la Subdirección de Gestión Corporativa-SGC"/>
    <s v="26 - contrato de prestacion de servicios de apoyo a la gestion"/>
    <s v="80111600;"/>
    <n v="10"/>
    <n v="0"/>
    <n v="8"/>
    <n v="11439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8"/>
    <x v="0"/>
    <s v="Sub. Gestión Corporativa"/>
    <s v="Fatima Veronica Quintero Nuñez"/>
    <s v="Adición y prórroga No. 1 al contrato No. 443 de 2025 que tiene como objeto &quot; Prestar los servicios profesionales de la gestión administrativa, así como la adquisición de bienes y servicios de la Subdirección de Gestión Corporativa SGC"/>
    <s v="25 - contrato de prestacion de servicios profesionales"/>
    <s v="80111600;"/>
    <n v="10"/>
    <n v="0"/>
    <n v="8"/>
    <n v="137629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0999"/>
    <x v="0"/>
    <s v="Sub. Gestión Corporativa"/>
    <s v="Fatima Veronica Quintero Nuñez"/>
    <s v="Adición y prórroga No. 1 al contrato No. 361 de 2025 que tiene como objeto &quot; Prestación de servicios de apoyo a la gestión documental de la Subdirección de Gestión Corporativa de la Unidad.-SGC"/>
    <s v="26 - contrato de prestacion de servicios de apoyo a la gestion"/>
    <s v="80111600;"/>
    <n v="10"/>
    <n v="1"/>
    <n v="3"/>
    <n v="309665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0"/>
    <x v="0"/>
    <s v="Sub. Gestión Corporativa"/>
    <s v="Fatima Veronica Quintero Nuñez"/>
    <s v="Adición y prórroga No. 1 al contrato No. 354 de 2025 que tiene como objeto &quot; Prestación de servicios de apoyo a la gestión documental de la Subdirección de Gestión Corporativa de la Unidad.-SGC"/>
    <s v="26 - contrato de prestacion de servicios de apoyo a la gestion"/>
    <s v="80111600;"/>
    <n v="10"/>
    <n v="1"/>
    <n v="6"/>
    <n v="458465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1"/>
    <x v="0"/>
    <s v="Sub. Gestión Corporativa"/>
    <s v="Fatima Veronica Quintero Nuñez"/>
    <s v="Adición y prórroga No. 1 al contrato No. 331 de 2025 que tiene como objeto &quot; Prestación de servicios de apoyo técnico en la gestión documental de la Subdirección de Gestión Corporativa de la Unidad-SGC"/>
    <s v="26 - contrato de prestacion de servicios de apoyo a la gestion"/>
    <s v="80111600;"/>
    <n v="10"/>
    <n v="0"/>
    <n v="12"/>
    <n v="171589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2"/>
    <x v="0"/>
    <s v="Sub. Gestión Corporativa"/>
    <s v="Fatima Veronica Quintero Nuñez"/>
    <s v="Adición y prórroga No. 1 al contrato No. 10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6"/>
    <n v="613074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3"/>
    <x v="0"/>
    <s v="Sub. Gestión Corporativa"/>
    <s v="Fatima Veronica Quintero Nuñez"/>
    <s v="Adición y prórroga No. 1 al contrato No. 35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4"/>
    <x v="0"/>
    <s v="Sub. Gestión Corporativa"/>
    <s v="Fatima Veronica Quintero Nuñez"/>
    <s v="Adición y prórroga No. 1 al contrato No. 353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5"/>
    <x v="0"/>
    <s v="Sub. Gestión Corporativa"/>
    <s v="Fatima Veronica Quintero Nuñez"/>
    <s v="Adición y prórroga No. 1 al contrato No. 19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1"/>
    <n v="3"/>
    <n v="361276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6"/>
    <x v="0"/>
    <s v="Sub. Gestión Corporativa"/>
    <s v="Fatima Veronica Quintero Nuñez"/>
    <s v="Adición y prórroga No. 1 al contrato No. 254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8"/>
    <n v="1970597"/>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7"/>
    <x v="0"/>
    <s v="Sub. Gestión Corporativa"/>
    <s v="Fatima Veronica Quintero Nuñez"/>
    <s v="Adición y prórroga No. 1 al contrato No. 14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8"/>
    <x v="0"/>
    <s v="Sub. Gestión Corporativa"/>
    <s v="Fatima Veronica Quintero Nuñez"/>
    <s v="Adición y prórroga No. 1 al contrato No. 259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6"/>
    <n v="175164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09"/>
    <x v="0"/>
    <s v="Sub. Gestión Corporativa"/>
    <s v="Fatima Veronica Quintero Nuñez"/>
    <s v="Prestar los servicios profesionales para el acompañamiento y seguimiento de los planes y proyectos del área de inventarios de la Subdirección de Gestión Corporativa-SGC"/>
    <s v="25 - contrato de prestacion de servicios profesionales"/>
    <s v="80111600;"/>
    <n v="12"/>
    <n v="1"/>
    <n v="15"/>
    <n v="13673529"/>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0"/>
    <x v="0"/>
    <s v="Sub. Gestión Corporativa"/>
    <s v="Fatima Veronica Quintero Nuñez"/>
    <s v="Adición y prórroga No. 1 al contrato No. 349 de 2025 que tiene como objeto &quot; Prestar los servicios profesionales en el área de inventarios de la Subdirección de Gestión Corporativa-SGC"/>
    <s v="25 - contrato de prestacion de servicios profesionales"/>
    <s v="80111600;"/>
    <n v="10"/>
    <n v="1"/>
    <n v="0"/>
    <n v="516108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1"/>
    <x v="0"/>
    <s v="Sub. Gestión Corporativa"/>
    <s v="Fatima Veronica Quintero Nuñez"/>
    <s v="Adición y prórroga No. 1 al contrato No. 442 de 2025 que tiene como objeto &quot; 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0"/>
    <n v="0"/>
    <n v="7"/>
    <n v="1204254"/>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2"/>
    <x v="0"/>
    <s v="Sub. Gestión Corporativa"/>
    <s v="Fatima Veronica Quintero Nuñez"/>
    <s v="Adición y prórroga No. 1 al contrato No. 517 de 2025 que tiene como objeto &quot; Prestar los servicios profesionales para el acompañamiento y el seguimiento de los comodatos y demás actividades relacionadas con los procesos y procedimientos de inventarios de la Subdirección de Gestión Corporativa-SGC"/>
    <s v="25 - contrato de prestacion de servicios profesionales"/>
    <s v="80111600;"/>
    <n v="10"/>
    <n v="0"/>
    <n v="22"/>
    <n v="51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3"/>
    <x v="0"/>
    <s v="Sub. Gestión Corporativa"/>
    <s v="Fatima Veronica Quintero Nuñez"/>
    <s v="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
    <s v="12 - resolucion"/>
    <s v="N/A"/>
    <s v="N/A"/>
    <s v="N/A"/>
    <s v="N/A"/>
    <n v="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4"/>
    <x v="0"/>
    <s v="Sub. Gestión Corporativa"/>
    <s v="Fatima Veronica Quintero Nuñez"/>
    <s v="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
    <s v="12 - resolucion"/>
    <s v="N/A"/>
    <s v="N/A"/>
    <s v="N/A"/>
    <s v="N/A"/>
    <n v="1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5"/>
    <x v="0"/>
    <s v="Sub. Gestión Corporativa"/>
    <s v="Fatima Veronica Quintero Nuñez"/>
    <s v="Reconocimiento y pago Pasivo Exigible contrato de prestación servicios No 305 de 2023 suscrito con NORBERTO RICO GORDILLO , cuyo objeto es Prestar los servicios como conductor del área de infraestructura de la Subdirección de Gestión Corporativa-SGC"/>
    <s v="12 - resolucion"/>
    <s v="N/A"/>
    <s v="N/A"/>
    <s v="N/A"/>
    <s v="N/A"/>
    <n v="1689258"/>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16"/>
    <x v="0"/>
    <s v="Sub. Gestión Corporativa"/>
    <s v="Fatima Veronica Quintero Nuñez"/>
    <s v="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
    <s v="12 - resolucion"/>
    <s v="N/A"/>
    <s v="N/A"/>
    <s v="N/A"/>
    <s v="N/A"/>
    <n v="53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017"/>
    <x v="1"/>
    <s v="Sub. Gestión Corporativa"/>
    <s v="Fatima Veronica Quintero Nuñez"/>
    <s v=" Adición y prórroga No. 1 al contrato 052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1"/>
    <n v="22"/>
    <n v="156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No Secop"/>
  </r>
  <r>
    <n v="20251018"/>
    <x v="1"/>
    <s v="Sub. Gestión Corporativa"/>
    <s v="Fatima Veronica Quintero Nuñez"/>
    <s v=" Adición y prórroga No. 1 al contrato 271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0"/>
    <n v="23"/>
    <n v="69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No Secop"/>
  </r>
  <r>
    <n v="20251019"/>
    <x v="1"/>
    <s v="Sub. Gestión Corporativa"/>
    <s v="Fatima Veronica Quintero Nuñez"/>
    <s v=" Adición y prórroga No. 1 al contrato 135 de 2025 que tiene como objeto &quot;Prestar servicios profesionales para realizar acompañamiento jurídico en la elaboración de los procesos contractuales adelantados por la Subdirección Gestión Corporativa - SGC&quot;"/>
    <s v="25 - contrato de prestacion de servicios profesionales"/>
    <s v="80111600;"/>
    <n v="10"/>
    <n v="2"/>
    <n v="7"/>
    <n v="16466324"/>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
    <s v="No Secop"/>
  </r>
  <r>
    <n v="20251020"/>
    <x v="1"/>
    <s v="Sub. Gestión Corporativa"/>
    <s v="Fatima Veronica Quintero Nuñez"/>
    <s v=" Adición y prórroga No. 1 al contrato 346 de 2025 que tiene como objeto &quot;Prestar servicios profesionales para realizar acompañamiento en los procesos contractuales adelantados por la Subdirección Gestión Corporativa -SGC&quot;"/>
    <s v="25 - contrato de prestacion de servicios profesionales"/>
    <s v="80111600;"/>
    <n v="10"/>
    <n v="0"/>
    <n v="28"/>
    <n v="638098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No Secop"/>
  </r>
  <r>
    <n v="20251021"/>
    <x v="1"/>
    <s v="Sub. Gestión Corporativa"/>
    <s v="Fatima Veronica Quintero Nuñez"/>
    <s v=" Adición y prórroga No. 1 al contrato 459 de 2025 que tiene como objeto &quot;Prestar los servicios profesionales jurídicos para apoyar las actividades propias, en procesos prediales que contribuyan al desarrollo de la infraestructura requerida por la entidad para la adecuada prestación del servicio-SGC&quot;"/>
    <s v="25 - contrato de prestacion de servicios profesionales"/>
    <s v="80111600;"/>
    <n v="10"/>
    <n v="1"/>
    <n v="3"/>
    <n v="77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x v="1"/>
    <s v="No Secop"/>
  </r>
  <r>
    <n v="20251022"/>
    <x v="1"/>
    <s v="Sub. Gestión Corporativa"/>
    <s v="Fatima Veronica Quintero Nuñez"/>
    <s v=" Adición y prórroga No. 1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0"/>
    <n v="0"/>
    <n v="22"/>
    <n v="513333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16"/>
    <s v="No Secop"/>
  </r>
  <r>
    <n v="20251023"/>
    <x v="1"/>
    <s v="Sub. Gestión Corporativa"/>
    <s v="Fatima Veronica Quintero Nuñez"/>
    <s v=" Adición y prórroga No. 1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0"/>
    <n v="0"/>
    <n v="22"/>
    <n v="5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No Secop"/>
  </r>
  <r>
    <n v="20251024"/>
    <x v="1"/>
    <s v="Sub. Gestión Corporativa"/>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4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16"/>
    <s v="Si Secop "/>
  </r>
  <r>
    <n v="20251025"/>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1026"/>
    <x v="0"/>
    <s v="Oficina de Control Disciplinario Interno"/>
    <s v="Yenire Yohansy Lozano Ascanio"/>
    <s v="Prestación de servicios de apoyo a la gestión a la Oficina de Control Disciplinario Interno de la UAECOB para el cumplimiento de las funciones de carácter administrativo."/>
    <s v="26 - contrato de prestacion de servicios de apoyo a la gestion"/>
    <n v="80111600"/>
    <n v="11"/>
    <n v="2"/>
    <n v="0"/>
    <n v="5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027"/>
    <x v="1"/>
    <s v="Sub. Gestión Riesgos"/>
    <s v="William Tovar Segura"/>
    <s v="Adquisición de elementos distintivos para reforzar los aprendizajes de los programas y campañas de la Subdirección de Gestión del Riesgo"/>
    <s v="06 - contrato de compraventa"/>
    <s v="53101801_x000a_53101803_x000a_53101501_x000a_53101503"/>
    <n v="10"/>
    <n v="2"/>
    <n v="0"/>
    <n v="62319493"/>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28"/>
    <x v="1"/>
    <s v="Sub. Gestión Riesgos"/>
    <s v="William Tovar Segura"/>
    <s v="Prestar  servicios profesionales en las actividades de proyeccion e innovacion para la Subdirección de Gestión del Riesgo._SGR"/>
    <s v="25 - contrato de prestacion de servicios profesionales"/>
    <n v="80111600"/>
    <n v="10"/>
    <n v="3"/>
    <n v="0"/>
    <n v="14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x v="0"/>
    <s v="Si Secop "/>
  </r>
  <r>
    <n v="20251029"/>
    <x v="1"/>
    <s v="Sub. Gestión Riesgos"/>
    <s v="William Tovar Segura"/>
    <s v="Contratar los  servicio de transporte para el desarrollo de las actividades, de los programas y campañas de prevención adelantados por  la Subdirección de Gestión del Riesgo."/>
    <s v="11 - orden de prestacion de servicios"/>
    <s v="78111802_x000a_78111803"/>
    <n v="10"/>
    <n v="4"/>
    <n v="0"/>
    <n v="38500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1"/>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2"/>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3"/>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4"/>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5"/>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6"/>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7"/>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39"/>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40"/>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43"/>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44"/>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051"/>
    <x v="1"/>
    <s v="Sub. Operativa"/>
    <s v="Yenire Yohansy Lozano Ascanio"/>
    <s v="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
    <s v="25 - contrato de prestacion de servicios profesionales"/>
    <n v="80111600"/>
    <n v="10"/>
    <n v="3"/>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1052"/>
    <x v="1"/>
    <s v="Sub. Operativa"/>
    <s v="Yenire Yohansy Lozano Ascanio"/>
    <s v="Prestar servicios profesionales para apoyar jurídicamente el seguimiento y la revisión de derechos de petición y requerimientos que efectúen los entes de control, así como en la revisión de documentación referida a procesos de contratación de la dependencia para el desarrollo de los programas a cargo de la Subdirección Operativa-S.O."/>
    <s v="25 - contrato de prestacion de servicios profesionales"/>
    <n v="80111600"/>
    <n v="11"/>
    <n v="2"/>
    <n v="0"/>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1"/>
    <s v="Si Secop "/>
  </r>
  <r>
    <n v="20251053"/>
    <x v="1"/>
    <s v="Sub. Logística"/>
    <s v="Omer Mauricio Rivera Ruiz"/>
    <s v="Prestación de servicios profesionales en el control legal de los procesos y acciones, especialmente la gestión contractual requerida por la Subdirección Logística - SBLG"/>
    <s v="25 - contrato de prestacion de servicios profesionales"/>
    <n v="80111600"/>
    <n v="10"/>
    <n v="3"/>
    <n v="10"/>
    <n v="3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1"/>
    <s v="Si Secop "/>
  </r>
  <r>
    <n v="20251054"/>
    <x v="1"/>
    <s v="Sub. Logística"/>
    <s v="Omer Mauricio Rivera Ruiz"/>
    <s v="Prestación de servicios profesionales para apoyar en el seguimiento administrativo, operativo, control y monitoreo a los vehículos del parque automotor, que se encuentren o sean objeto de mantenimiento a cargo de la subdirección logística&quot;"/>
    <s v="26 - contrato de prestacion de servicios de apoyo a la gestion"/>
    <n v="80111600"/>
    <n v="10"/>
    <n v="3"/>
    <n v="27"/>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Si Secop "/>
  </r>
  <r>
    <n v="20251055"/>
    <x v="1"/>
    <s v="Sub. Logística"/>
    <s v="Omer Mauricio Rivera Ruiz"/>
    <s v="Adición y prorroga al contrato 178-2025 cuyo objeto es: &quot;Prestar servicios de apoyo en la gestión documental, física y digital, administrando y diligenciando las bases de datos, y demás documentos a cargo de la Subdirección logística. -SBLG&quot;."/>
    <s v="26 - contrato de prestacion de servicios de apoyo a la gestion"/>
    <n v="80111600"/>
    <n v="11"/>
    <n v="2"/>
    <n v="15"/>
    <n v="8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56"/>
    <x v="1"/>
    <s v="Sub. Logística"/>
    <s v="Omer Mauricio Rivera Ruiz"/>
    <s v="Adición y prorroga al contrato 29-2025 cuyo objeto es:  &quot;prestación de servicios profesionales para la gestión administrativa de las herramientas tecnológicas de la Subdirección Logística asociados a la mesa logística - SBLG&quot;"/>
    <s v="25 - contrato de prestacion de servicios profesionales"/>
    <n v="80111600"/>
    <n v="11"/>
    <n v="2"/>
    <n v="21"/>
    <n v="1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57"/>
    <x v="1"/>
    <s v="Sub. Logística"/>
    <s v="Omer Mauricio Rivera Ruiz"/>
    <s v="Adición y prorroga al contrato 60-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5"/>
    <n v="21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No Secop"/>
  </r>
  <r>
    <n v="20251058"/>
    <x v="1"/>
    <s v="Sub. Logística"/>
    <s v="Omer Mauricio Rivera Ruiz"/>
    <s v="Adición y prorroga al contrato 47-2025 cuyo objeto es: &quot;Prestación de servicios profesionales para la gestión, seguimiento y control administrativo, técnico y operativo del equipo menor a cargo de la Subdirección Logística (SBLG)&quot;."/>
    <s v="25 - contrato de prestacion de servicios profesionales"/>
    <n v="80111600"/>
    <n v="11"/>
    <n v="2"/>
    <n v="15"/>
    <n v="21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No Secop"/>
  </r>
  <r>
    <n v="20251059"/>
    <x v="1"/>
    <s v="Sub. Logística"/>
    <s v="Omer Mauricio Rivera Ruiz"/>
    <s v="Adición y prorroga al contrato 466-2025 cuyo objeto es: &quot;Prestar servicios profesionales en las actividades administrativas y financieras que requieran los proces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0"/>
    <x v="1"/>
    <s v="Sub. Logística"/>
    <s v="Omer Mauricio Rivera Ruiz"/>
    <s v="Adición y prorroga al contrato 79-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2"/>
    <n v="17866667"/>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No Secop"/>
  </r>
  <r>
    <n v="20251061"/>
    <x v="1"/>
    <s v="Sub. Logística"/>
    <s v="Omer Mauricio Rivera Ruiz"/>
    <s v="Adición y prorroga al contrato 471-2025 cuyo objeto es: &quot;Prestación de servicios profesionales para apoyar la gestión financiera y presupuestal de los proyectos y planes a cargo de la Subdirección Logística - SBLG&quot;. "/>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2"/>
    <x v="1"/>
    <s v="Sub. Logística"/>
    <s v="Omer Mauricio Rivera Ruiz"/>
    <s v="Adición y prorroga al contrato 104-2025 cuyo objeto es: &quot;Prestar servicios profesionales en la gestión, seguimiento y control administrativo, financiero y contractual la línea de insumos y suministros, para la operación durante las emergencias, eventos y capacitaciones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3"/>
    <x v="1"/>
    <s v="Sub. Logística"/>
    <s v="Omer Mauricio Rivera Ruiz"/>
    <s v="Adición y prorroga al contrato 255-2025 cuyo objeto es: &quot;Prestación de servicios profesionales, para apoyar la política de Compras y Contratación Pública, en la elaboración, tramite e impulso de los procesos de contratación en sus diferentes etapas a cargo de la Subdirección Logística - SBLG&quot;."/>
    <s v="25 - contrato de prestacion de servicios profesionales"/>
    <n v="80111600"/>
    <n v="11"/>
    <n v="2"/>
    <n v="0"/>
    <n v="1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4"/>
    <x v="1"/>
    <s v="Sub. Logística"/>
    <s v="Omer Mauricio Rivera Ruiz"/>
    <s v="Adición y prorroga al contrato 64-2025 cuyo objeto es: &quot;Prestación de servicios profesionales en la gestión, seguimiento y control administrativo, financiero y contractual del proceso de mantenimiento del parque automotor a cargo de la Subdirección Logística - SBLG&quot;."/>
    <s v="25 - contrato de prestacion de servicios profesionales"/>
    <n v="80111600"/>
    <n v="11"/>
    <n v="2"/>
    <n v="6"/>
    <n v="11366667"/>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5"/>
    <x v="1"/>
    <s v="Sub. Logística"/>
    <s v="Omer Mauricio Rivera Ruiz"/>
    <s v="Adición y prorroga al contrato 28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5"/>
    <n v="7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6"/>
    <x v="1"/>
    <s v="Sub. Logística"/>
    <s v="Omer Mauricio Rivera Ruiz"/>
    <s v="Adición y prorroga al contrato 29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0"/>
    <n v="7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7"/>
    <x v="1"/>
    <s v="Sub. Logística"/>
    <s v="Omer Mauricio Rivera Ruiz"/>
    <s v="Adición y prorroga al contrato 160-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8"/>
    <x v="1"/>
    <s v="Sub. Logística"/>
    <s v="Omer Mauricio Rivera Ruiz"/>
    <s v="Adición y prorroga al contrato 230-2025 cuyo objeto es: &quot;Prestar servicios profesionales en materia administrativa,optimizando los procesos de la dependencia a través de la gestión de herramientas tecnológicas y documentales con las que se cuenten a la Subdirección Logística – SBLG&quot;."/>
    <s v="26 - contrato de prestacion de servicios de apoyo a la gestion"/>
    <n v="80111600"/>
    <n v="12"/>
    <n v="1"/>
    <n v="15"/>
    <n v="6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69"/>
    <x v="1"/>
    <s v="Sub. Logística"/>
    <s v="Omer Mauricio Rivera Ruiz"/>
    <s v="Adición y prorroga al contrato 406-2025 cuyo objeto es: &quot;Prestar servicios de apoyo a la gestión en las actividades de soporte operacional de la UAECOB Subdirección Logística. SBLG&quot;"/>
    <s v="26 - contrato de prestacion de servicios de apoyo a la gestion"/>
    <n v="80111600"/>
    <n v="12"/>
    <n v="1"/>
    <n v="0"/>
    <n v="328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0"/>
    <x v="1"/>
    <s v="Sub. Logística"/>
    <s v="Omer Mauricio Rivera Ruiz"/>
    <s v="Adición y prorroga al contrato 190-2025 cuyo objeto es: &quot;Prestar servicios profesionales para la gestión del Plan Estratégico de Seguridad Vial (PESV), participación en el comité correspondiente y el desarrollo de programas y actividades asignadas a la Subdirección Logística SBLG&quot;."/>
    <s v="25 - contrato de prestacion de servicios profesionales"/>
    <n v="80111600"/>
    <n v="12"/>
    <n v="1"/>
    <n v="12"/>
    <n v="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1"/>
    <x v="1"/>
    <s v="Sub. Logística"/>
    <s v="Omer Mauricio Rivera Ruiz"/>
    <s v="Adición y prorroga al contrato 347-2025 cuyo objeto es: &quot;Prestación de servicios de apoyo a la gestión en el proceso de mantenimiento del equipo menor a cargo de la Subdirección Logística -SBLG&quot;."/>
    <s v="26 - contrato de prestacion de servicios de apoyo a la gestion"/>
    <n v="80111600"/>
    <n v="12"/>
    <n v="1"/>
    <n v="5"/>
    <n v="4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0"/>
    <s v="No Secop"/>
  </r>
  <r>
    <n v="20251072"/>
    <x v="1"/>
    <s v="Sub. Logística"/>
    <s v="Omer Mauricio Rivera Ruiz"/>
    <s v="Adición y prorroga al contrato 213-2025 cuyo objeto es: &quot;Prestar servicios profesionales en la formulación e implementación de estrategias de comunicación, capacitación y gestión administrativa que promueva el uso y apropiación de los programas desarrollados en cada una de las lineas de la Subdirección Logística - SBLG&quot;"/>
    <s v="25 - contrato de prestacion de servicios profesionales"/>
    <n v="80111600"/>
    <n v="12"/>
    <n v="1"/>
    <n v="10"/>
    <n v="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3"/>
    <x v="1"/>
    <s v="Sub. Logística"/>
    <s v="Omer Mauricio Rivera Ruiz"/>
    <s v="Adición y prorroga al contrato 246-2025 cuyo objeto es: &quot;Prestar servicios profesionales en la definición y gestión de procedimientos, lineamientos ambientales y de SST de los procesos, así como del sistema de Gestión de Calidad en la Subdirección Logística – SBGL&quot;"/>
    <s v="25 - contrato de prestacion de servicios profesionales"/>
    <n v="80111600"/>
    <n v="12"/>
    <n v="1"/>
    <n v="0"/>
    <n v="5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4"/>
    <x v="1"/>
    <s v="Sub. Logística"/>
    <s v="Omer Mauricio Rivera Ruiz"/>
    <s v="Adición y prorroga al contrato 386-2025 cuyo objeto es: &quot;Prestar servicios de apoyo a la gestión en actividades Técnicas, administrativas y documentales de la Subdirección Logística - SBLG&quot;"/>
    <s v="25 - contrato de prestacion de servicios profesionales"/>
    <n v="80111600"/>
    <n v="12"/>
    <n v="1"/>
    <n v="6"/>
    <n v="3936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5"/>
    <x v="1"/>
    <s v="Sub. Logística"/>
    <s v="Omer Mauricio Rivera Ruiz"/>
    <s v="Adición y prorroga al contrato 258-2025 cuyo objeto es: &quot;Prestar servicios profesionales en temas transversales de los procesos de planeación, logísticos, administrativos y financieros que se deriven de las competencias a cargo de la Subdirección Logística - . - SBLG&quot;"/>
    <s v="25 - contrato de prestacion de servicios profesionales"/>
    <n v="80111600"/>
    <n v="12"/>
    <n v="1"/>
    <n v="10"/>
    <n v="1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6"/>
    <x v="1"/>
    <s v="Sub. Logística"/>
    <s v="Omer Mauricio Rivera Ruiz"/>
    <s v="Adición y prorroga al contrato 150-2025 cuyo objeto es: &quot;Prestación de servicio como conductor para apoyar en la gestión administrativa y logística de la Subdirección Logistica- SBLG&quot;."/>
    <s v="26 - contrato de prestacion de servicios de apoyo a la gestion"/>
    <n v="80111600"/>
    <n v="12"/>
    <n v="1"/>
    <n v="0"/>
    <n v="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7"/>
    <x v="1"/>
    <s v="Sub. Logística"/>
    <s v="Omer Mauricio Rivera Ruiz"/>
    <s v="Adición y prorroga al contrato 290-2025 cuyo objeto es: &quot;Prestar servicios de apoyo a la gestión en actividades administrativas y documentales que se desarrollen en la Subdirección Logística – SBLG&quot;."/>
    <s v="26 - contrato de prestacion de servicios de apoyo a la gestion"/>
    <n v="80111600"/>
    <n v="12"/>
    <n v="1"/>
    <n v="0"/>
    <n v="3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8"/>
    <x v="1"/>
    <s v="Sub. Logística"/>
    <s v="Omer Mauricio Rivera Ruiz"/>
    <s v="Adición y prorroga al contrato 152-2025 cuyo objeto es: &quot;Prestación de servicio como conductor para apoyar en la gestión administrativa y logística de la Subdirección Logistica- SBLG&quot;."/>
    <s v="26 - contrato de prestacion de servicios de apoyo a la gestion"/>
    <n v="80111600"/>
    <n v="12"/>
    <n v="0"/>
    <n v="15"/>
    <n v="1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79"/>
    <x v="1"/>
    <s v="Sub. Logística"/>
    <s v="Omer Mauricio Rivera Ruiz"/>
    <s v="Adición y prorroga al contrato 451-2025 cuyo objeto es: &quot;Prestar servicios profesionales para el trámite, revisión y validación de los documentos previos para pago que se generen con ocasión de la ejecución de los contratos a cargo de la subdirección logística. - SBLG&quot;"/>
    <s v="25 - contrato de prestacion de servicios profesionales"/>
    <n v="80111600"/>
    <n v="1"/>
    <n v="0"/>
    <n v="20"/>
    <n v="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80"/>
    <x v="1"/>
    <s v="Sub. Logística"/>
    <s v="Omer Mauricio Rivera Ruiz"/>
    <s v="Adición y prorroga al contrato 168-2025 cuyo objeto es: &quot;Prestar servicios de apoyo a la gestión de los suministros y consumibles realizando el seguimiento, control y trámites necesarios para la oportuna disponibilidad en la atención de emergencias -SBLG&quot;."/>
    <s v="26 - contrato de prestacion de servicios de apoyo a la gestion"/>
    <n v="80111600"/>
    <n v="10"/>
    <n v="2"/>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81"/>
    <x v="1"/>
    <s v="Sub. Logística"/>
    <s v="Omer Mauricio Rivera Ruiz"/>
    <s v="Adición y prorroga al contrato 334-2025 cuyo objeto es: &quot;Prestar servicios de apoyo en la gestión administrativa y documental de los procesos contractuales relacionados con el mantenimiento del parque automotor a cargo de la Subdirección Logística -SBLG&quot;."/>
    <s v="26 - contrato de prestacion de servicios de apoyo a la gestion"/>
    <n v="80111600"/>
    <n v="11"/>
    <n v="2"/>
    <n v="18"/>
    <n v="1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082"/>
    <x v="0"/>
    <s v="Dirección"/>
    <s v="Paula Ximena Henao Escobar"/>
    <s v="Adición y prórroga al Contrato 329 de 2025 con objeto &quot;Prestar servicios profesionales jurídicos en la Dirección General de la UAECOB en la revisión, gestión y seguimiento de temas de infraestructura, POT, plan maestro de equipamiento y procesos contractuales y estratégicos de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083"/>
    <x v="0"/>
    <s v="Dirección"/>
    <s v="Paula Ximena Henao Escobar"/>
    <s v="Adición y prórroga al Contrato 116 de 2025 con objeto &quot;Prestar servicios profesionales especializados en la Dirección General de la UAECOB en la organización y liderazgo de los asuntos relacionados con cooperación técnica internacional y articulación interinstitucional de conformidad a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84"/>
    <x v="0"/>
    <s v="Dirección"/>
    <s v="Paula Ximena Henao Escobar"/>
    <s v="Adición y prórroga al Contrato 134 de 2025 con objeto &quot;Prestar servicios profesionales en la Dirección General para apoyar las actividades de cooperación técnica Internacional, seguimientos estrategicos y articulación interinstitucional de conformidad a la misionalidad de la entidad&quot;"/>
    <s v="25 - contrato de prestacion de servicios profesionales"/>
    <n v="80111600"/>
    <n v="10"/>
    <n v="2"/>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85"/>
    <x v="0"/>
    <s v="Dirección comunicaciones y Prensa"/>
    <s v="Paula Ximena Henao Escobar"/>
    <s v="Adición y prórroga al Contrato 417 de 2025 con objeto &quot;Prestación de servicios profesionales en asuntos de comunicaciones y prensa para revisar los procesos de comunicación de entidad con el fin de evaluar su eficacia interna y externa y detectar ineficiencias en los canales de comunicación&quot;"/>
    <s v="25 - contrato de prestacion de servicios profesionales"/>
    <n v="80111600"/>
    <n v="10"/>
    <n v="1"/>
    <n v="20"/>
    <n v="1533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86"/>
    <x v="0"/>
    <s v="Dirección"/>
    <s v="Paula Ximena Henao Escobar"/>
    <s v="Adición y prórroga al Contrato 172 de 2025 con objeto &quot;Prestar servicios profesionales en la Dirección General para gestionar las  actividades de cooperación técnica internacional y articulación interinstitucional encaminadas a fortalecer e impulsar las metas de la Entidad&quot;"/>
    <s v="25 - contrato de prestacion de servicios profesionales"/>
    <n v="80111600"/>
    <n v="10"/>
    <n v="2"/>
    <n v="0"/>
    <n v="1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87"/>
    <x v="0"/>
    <s v="Dirección comunicaciones y Prensa"/>
    <s v="Paula Ximena Henao Escobar"/>
    <s v="Adición y prórroga al Contrato 440 de 2025 con objeto &quot;Prestación de servicios profesionales en asuntos de comunicaciones y prensa para detectar las necesidades de la Entidad y facilitar la inserción de nuevas estrategias de comunicación&quot;"/>
    <s v="25 - contrato de prestacion de servicios profesionales"/>
    <n v="80111600"/>
    <n v="11"/>
    <n v="1"/>
    <n v="29"/>
    <n v="1337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88"/>
    <x v="0"/>
    <s v="Dirección comunicaciones y Prensa"/>
    <s v="Paula Ximena Henao Escobar"/>
    <s v="Adición y prórroga al Contrato 437 de 2025 con objeto &quot;Prestación de servicios profesionales en asuntos de comunicaciones y prensa para apoyar las labores periodísticas y de divulgación de información,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89"/>
    <x v="0"/>
    <s v="Dirección comunicaciones y Prensa"/>
    <s v="Paula Ximena Henao Escobar"/>
    <s v="Adición y prórroga al Contrato 434 de 2025 con objeto &quot;Prestación de servicios profesionales en asuntos de comunicaciones y prensa para apoyar las labores de reportería, periodismo y de divulgación de información y campañas,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90"/>
    <x v="0"/>
    <s v="Dirección"/>
    <s v="Paula Ximena Henao Escobar"/>
    <s v="Adición y prórroga al Contrato 024 de 2025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
    <n v="0"/>
    <n v="18"/>
    <n v="312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091"/>
    <x v="0"/>
    <s v="Dirección comunicaciones y Prensa"/>
    <s v="Paula Ximena Henao Escobar"/>
    <s v="Adición y prórroga al Contrato 025 de 2025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
    <n v="0"/>
    <n v="20"/>
    <n v="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92"/>
    <x v="0"/>
    <s v="Dirección"/>
    <s v="Paula Ximena Henao Escobar"/>
    <s v="Adición y prórroga al Contrato 042 de 2025 con objeto &quot;Prestar servicios de apoyo a la gestión en la UAECOB, en asuntos administrativos y asistenciales requeridos, especificamente en el seguimiento de la información&quot;"/>
    <s v="26 - contrato de prestacion de servicios de apoyo a la gestion"/>
    <s v="80111600"/>
    <s v="1"/>
    <s v="0"/>
    <s v="15"/>
    <n v="22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6"/>
    <s v="No Secop"/>
  </r>
  <r>
    <n v="20251093"/>
    <x v="0"/>
    <s v="Dirección comunicaciones y Prensa"/>
    <s v="Paula Ximena Henao Escobar"/>
    <s v="Adición y prórroga al Contrato 068 de 2025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s v="80111600"/>
    <n v="1"/>
    <n v="0"/>
    <n v="16"/>
    <n v="5600000"/>
    <x v="0"/>
    <s v=" 09 - contratación directa "/>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x v="0"/>
    <s v="No Secop"/>
  </r>
  <r>
    <n v="20251094"/>
    <x v="0"/>
    <s v="Oficina Asesora de Planeación"/>
    <s v="Manuel Eduardo Castillo Guzman"/>
    <s v="Prestación de servicios de apoyo a la gestión como conductor para atender los requerimientos que se presenten en la Oficina Asesora de Planeación, así como los incidentes que puedan surgir en la Unidad Administrativa Especial Cuerpo Oficial de Bomberos de Bogotá."/>
    <s v="26 - contrato de prestacion de servicios de apoyo a la gestion"/>
    <n v="80111600"/>
    <n v="10"/>
    <n v="3"/>
    <n v="0"/>
    <n v="9383795"/>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x v="0"/>
    <s v="No Secop"/>
  </r>
  <r>
    <n v="20251095"/>
    <x v="1"/>
    <s v="Sub. Gestión Humana"/>
    <s v="Jose Andres Ponce Caicedo"/>
    <s v="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
    <s v="25 - contrato de prestacion de servicios profesionales"/>
    <n v="80111600"/>
    <n v="10"/>
    <n v="3"/>
    <n v="0"/>
    <n v="18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096"/>
    <x v="1"/>
    <s v="Sub. Gestión Humana"/>
    <s v="Jose Andres Ponce Caicedo"/>
    <s v="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
    <s v="25 - contrato de prestacion de servicios profesionales"/>
    <n v="80111600"/>
    <n v="10"/>
    <n v="3"/>
    <n v="0"/>
    <n v="16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097"/>
    <x v="1"/>
    <s v="Sub. Gestión Humana"/>
    <s v="Jose Andres Ponce Caicedo"/>
    <s v="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
    <s v="25 - contrato de prestacion de servicios profesionales"/>
    <n v="80111600"/>
    <n v="10"/>
    <n v="3"/>
    <n v="0"/>
    <n v="1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099"/>
    <x v="1"/>
    <s v="Sub. Gestión Humana"/>
    <s v="Jose Andres Ponce Caicedo"/>
    <s v="Adición y prórroga al contrato 226-2025 cuyo objeto es: &quot; SGH - Prestar servicios profesionales para desarrollar actividades jurídicas relacionadas con la academia bomberil, recobro de incapacidades y procesos administrativos de la Subdirección de Gestión Humana.&quot;"/>
    <s v="25 - contrato de prestacion de servicios profesionales"/>
    <n v="80111600"/>
    <n v="11"/>
    <n v="1.5"/>
    <n v="0"/>
    <n v="100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1100"/>
    <x v="1"/>
    <s v="Sub. Gestión Humana"/>
    <s v="Jose Andres Ponce Caicedo"/>
    <s v="Adición y prórroga al contrato 216-2025 cuyo objeto es: &quot; SGH - Prestar servicios profesionales en la Subdirección de Gestión Humana, para el fortalecimiento transversal del proceso de Academia.&quot;"/>
    <s v="25 - contrato de prestacion de servicios profesionales"/>
    <n v="80111600"/>
    <n v="11"/>
    <n v="1.5"/>
    <n v="0"/>
    <n v="102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1"/>
    <x v="1"/>
    <s v="Sub. Gestión Humana"/>
    <s v="Jose Andres Ponce Caicedo"/>
    <s v="Adición y prórroga al contrato 319-2025 cuyo objeto es: &quot; SGH - Prestar sus servicios profesionales en los procesos de la Subdirección de Gestión Humana de la UAE Cuerpo Oficial de Bomberos.&quot;"/>
    <s v="25 - contrato de prestacion de servicios profesionales"/>
    <n v="80111600"/>
    <n v="12"/>
    <n v="1"/>
    <n v="0"/>
    <n v="5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2"/>
    <x v="1"/>
    <s v="Sub. Gestión Humana"/>
    <s v="Jose Andres Ponce Caicedo"/>
    <s v="Adición y prórroga al contrato 317-2025 cuyo objeto es: &quot; SGH - Prestar servicios de apoyo en el sistema de gestión de seguridad y salud en el trabajo en la Subdirección de Gestión Humana de la UAE Cuerpo Oficial de Bomberos.&quot;"/>
    <s v="26 - contrato de prestacion de servicios de apoyo a la gestion"/>
    <n v="80111600"/>
    <n v="11"/>
    <n v="2"/>
    <n v="0"/>
    <n v="8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3"/>
    <x v="1"/>
    <s v="Sub. Gestión Humana"/>
    <s v="Jose Andres Ponce Caicedo"/>
    <s v="Adición y prórroga al contrato 020-2025 cuyo objeto es: &quot; SGH - Prestar sus servicios profesionales en la Subdirección de Gestión Humana en temas de desarrollo organizacional.&quot;"/>
    <s v="25 - contrato de prestacion de servicios profesionales"/>
    <n v="80111600"/>
    <n v="11"/>
    <n v="2"/>
    <n v="0"/>
    <n v="12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5"/>
    <x v="1"/>
    <s v="Sub. Gestión Humana"/>
    <s v="Jose Andres Ponce Caicedo"/>
    <s v="Adición y prórroga al contrato 059-2025 cuyo objeto es: &quot; SGH - Prestar servicios profesionales en la Subdirección de Gestión Humana de la UAE Cuerpo Oficial de Bomberos en temas de liquidación de demandas y conciliaciones.&quot;"/>
    <s v="25 - contrato de prestacion de servicios profesionales"/>
    <n v="80111600"/>
    <n v="11"/>
    <n v="1.5"/>
    <n v="0"/>
    <n v="7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6"/>
    <x v="1"/>
    <s v="Sub. Gestión Humana"/>
    <s v="Jose Andres Ponce Caicedo"/>
    <s v="Adición y prórroga al contrato 394-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7"/>
    <x v="1"/>
    <s v="Sub. Gestión Humana"/>
    <s v="Jose Andres Ponce Caicedo"/>
    <s v="Adición y prórroga al contrato 240-2025 cuyo objeto es: &quot; SGH - Ejecutar actividades de apoyo a la gestión en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2"/>
    <n v="0"/>
    <n v="3829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8"/>
    <x v="1"/>
    <s v="Sub. Gestión Humana"/>
    <s v="Jose Andres Ponce Caicedo"/>
    <s v="Adición y prórroga al contrato 404-2025 cuyo objeto es: &quot; SGH - Prestar Servicios de apoyo  a los procesos de archivo en  Subdirección de Gestión Humana de la UAE Cuerpo Oficial de Bomberos de Bogotá D.C. &quot;"/>
    <s v="26 - contrato de prestacion de servicios de apoyo a la gestion"/>
    <n v="80111600"/>
    <n v="11"/>
    <n v="1"/>
    <n v="0"/>
    <n v="399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09"/>
    <x v="1"/>
    <s v="Sub. Gestión Humana"/>
    <s v="Jose Andres Ponce Caicedo"/>
    <s v="Adición y prórroga al contrato 075-2025 cuyo objeto es: &quot; SGH - Prestar sus servicios profesionales en el proceso de liquidación de demandas y conciliaciones administrativas para la Subdirección de Gestión Humana de la UAE Cuerpo Oficial de Bomberos.&quot;"/>
    <s v="25 - contrato de prestacion de servicios profesionales"/>
    <n v="80111600"/>
    <n v="11"/>
    <n v="2"/>
    <n v="0"/>
    <n v="11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0"/>
    <x v="1"/>
    <s v="Sub. Gestión Humana"/>
    <s v="Jose Andres Ponce Caicedo"/>
    <s v="Adición y prórroga al contrato 090-2025 cuyo objeto es: &quot; SGH - Prestar servicios profesionales en la Subdirección de Gestión Humana de la UAE Cuerpo Oficial de Bomberos en temas de liquidación de demandas y conciliaciones.&quot;"/>
    <s v="25 - contrato de prestacion de servicios profesionales"/>
    <n v="80111600"/>
    <n v="10"/>
    <n v="2"/>
    <n v="0"/>
    <n v="94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1"/>
    <x v="1"/>
    <s v="Sub. Gestión Humana"/>
    <s v="Jose Andres Ponce Caicedo"/>
    <s v="Adición y prórroga al contrato 046-2025 cuyo objeto es: &quot; SGH - Prestar sus servicios profesionales en comunicación interna y externa para la Subdirección de Gestión Humana de la UAE Cuerpo Oficial de Bomberos de Bogotá&quot;"/>
    <s v="25 - contrato de prestacion de servicios profesionales"/>
    <n v="80111600"/>
    <n v="11"/>
    <n v="2"/>
    <n v="0"/>
    <n v="1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2"/>
    <x v="1"/>
    <s v="Sub. Gestión Humana"/>
    <s v="Jose Andres Ponce Caicedo"/>
    <s v="Adición y prórroga al contrato 083-2025 cuyo objeto es: &quot; SGH - Prestar servicios de apoyo a la gestión en cumplimiento de los planes institucionales de la Subdirección de Gestión Humana específicamente para desarrollo organizacional.&quot;"/>
    <s v="26 - contrato de prestacion de servicios de apoyo a la gestion"/>
    <n v="80111600"/>
    <n v="11"/>
    <n v="2"/>
    <n v="0"/>
    <n v="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3"/>
    <x v="1"/>
    <s v="Sub. Gestión Humana"/>
    <s v="Jose Andres Ponce Caicedo"/>
    <s v="Adición y prórroga al contrato 130-2025 cuyo objeto es: &quot; SGH-  Prestar servicios profesionales en la Subdirección de Gestión Humana de la UAE Cuerpo Oficial de Bomberos de Bogotá en las áreas de calidad de vida y desarrollo organizacional&quot;"/>
    <s v="25 - contrato de prestacion de servicios profesionales"/>
    <n v="80111600"/>
    <n v="11"/>
    <n v="2"/>
    <n v="0"/>
    <n v="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4"/>
    <x v="1"/>
    <s v="Sub. Gestión Humana"/>
    <s v="Jose Andres Ponce Caicedo"/>
    <s v="Adición y prórroga al contrato 092-2025 cuyo objeto es: &quot; SGH - Prestar servicios profesionales en la Subdirección de Gestión Humana de la UAE Cuerpo Oficial de Bomberos en temas de Administración de Personal.&quot;"/>
    <s v="25 - contrato de prestacion de servicios profesionales"/>
    <n v="80111600"/>
    <n v="11"/>
    <n v="1.5"/>
    <n v="0"/>
    <n v="91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5"/>
    <x v="1"/>
    <s v="Sub. Gestión Humana"/>
    <s v="Jose Andres Ponce Caicedo"/>
    <s v="Adición y prórroga al contrato 205-2025 cuyo objeto es: &quot; SGH - Prestar servicios profesionales en la Subdirección de Gestión Humana en la estrategia de fortalecimiento institucional, realizando documentos de necesidades de diagnóstico organizacional de la Unidad Administrativa Especial Cuerpo Oficial de Bomberos de Bogotá.&quot;"/>
    <s v="25 - contrato de prestacion de servicios profesionales"/>
    <n v="80111600"/>
    <n v="10"/>
    <n v="2.4666666666666668"/>
    <n v="0"/>
    <n v="2047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6"/>
    <x v="1"/>
    <s v="Sub. Gestión Humana"/>
    <s v="Jose Andres Ponce Caicedo"/>
    <s v="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
    <s v="25 - contrato de prestacion de servicios profesionales"/>
    <n v="80111600"/>
    <n v="10"/>
    <n v="3.5"/>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1117"/>
    <x v="1"/>
    <s v="Sub. Gestión Humana"/>
    <s v="Jose Andres Ponce Caicedo"/>
    <s v="Adición y prórroga al contrato 095-2025 cuyo objeto es: &quot;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quot;"/>
    <s v="25 - contrato de prestacion de servicios profesionales"/>
    <n v="80111600"/>
    <n v="11"/>
    <n v="2"/>
    <n v="0"/>
    <n v="1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8"/>
    <x v="1"/>
    <s v="Sub. Gestión Humana"/>
    <s v="Jose Andres Ponce Caicedo"/>
    <s v="Adición y prórroga al contrato 316-2025 cuyo objeto es: &quot; SGH- Prestar servicios profesionales en la Subdirección de Gestión Humana de la UAE Cuerpo Oficial de Bomberos Bogotá D.C. en lo relacionado con la consolidación y análisis de base de datos y constitución del presupuesto&quot;"/>
    <s v="25 - contrato de prestacion de servicios profesionales"/>
    <n v="80111600"/>
    <n v="12"/>
    <n v="1.5"/>
    <n v="0"/>
    <n v="10237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19"/>
    <x v="1"/>
    <s v="Sub. Gestión Humana"/>
    <s v="Jose Andres Ponce Caicedo"/>
    <s v="Adición y prórroga al contrato 435-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
    <n v="0"/>
    <n v="74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0"/>
    <x v="1"/>
    <s v="Sub. Gestión Humana"/>
    <s v="Jose Andres Ponce Caicedo"/>
    <s v="Adición y prórroga al contrato 428-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5"/>
    <n v="0"/>
    <n v="8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1"/>
    <x v="1"/>
    <s v="Sub. Gestión Humana"/>
    <s v="Jose Andres Ponce Caicedo"/>
    <s v="Adición y prórroga al contrato 200-2025 cuyo objeto es: &quot; SGH - Prestar servicios de apoyo a la gestión en la Subdirección de Gestión Humana en las diferentes actividades logísticas relacionadas con  el proceso de Academia.&quot;"/>
    <s v="26 - contrato de prestacion de servicios de apoyo a la gestion"/>
    <n v="80111600"/>
    <n v="11"/>
    <n v="1.5"/>
    <n v="0"/>
    <n v="6020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2"/>
    <x v="1"/>
    <s v="Sub. Gestión Humana"/>
    <s v="Jose Andres Ponce Caicedo"/>
    <s v="Adición y prórroga al contrato 321-2025 cuyo objeto es: &quot; SGH prestar servicios profesionales para acompañar a la Subdirección de Gestión Humana en el desarrollo de las actividades relacionadas con el seguimiento a la ejecución presupuestal en el marco de los procesos, procedimientos y contratos a cargo de la dependencia&quot;"/>
    <s v="25 - contrato de prestacion de servicios profesionales"/>
    <n v="80111600"/>
    <n v="12"/>
    <n v="1.5"/>
    <n v="0"/>
    <n v="109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3"/>
    <x v="1"/>
    <s v="Sub. Gestión Humana"/>
    <s v="Jose Andres Ponce Caicedo"/>
    <s v="Adición y prórroga al contrato 514-2025 cuyo objeto es: &quot;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quot;"/>
    <s v="25 - contrato de prestacion de servicios profesionales"/>
    <n v="80111600"/>
    <n v="12"/>
    <n v="0.5"/>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4"/>
    <x v="1"/>
    <s v="Sub. Gestión Humana"/>
    <s v="Jose Andres Ponce Caicedo"/>
    <s v="Adición y prórroga al contrato 420-2025 cuyo objeto es: &quot; SGH - Prestar servicios profesionales en el desarrollo de actividades relacionadas con la actualizacion de registro laborales del personal de la entidad, asi como apoyar en las actividades a cargo de desarrollo organizacional de la subdireccion de gestion humana.&quot;"/>
    <s v="25 - contrato de prestacion de servicios profesionales"/>
    <n v="80111600"/>
    <n v="11"/>
    <n v="1"/>
    <n v="0"/>
    <n v="58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5"/>
    <x v="1"/>
    <s v="Sub. Gestión Humana"/>
    <s v="Jose Andres Ponce Caicedo"/>
    <s v="Adición y prórroga al contrato 453-2025 cuyo objeto es: &quot; SGH - Prestar servicios profesionales para apoyar el programa de riesgo psicosocial y diferentes  actividades de seguridad y salud en el trabajo en la Subdirección de Gestión Humana&quot;"/>
    <s v="25 - contrato de prestacion de servicios profesionales"/>
    <n v="80111600"/>
    <n v="12"/>
    <n v="0.5"/>
    <n v="0"/>
    <n v="6133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6"/>
    <x v="1"/>
    <s v="Sub. Gestión Humana"/>
    <s v="Jose Andres Ponce Caicedo"/>
    <s v="Adición y prórroga al contrato 523-2025 cuyo objeto es: &quot;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quot;"/>
    <s v="25 - contrato de prestacion de servicios profesionales"/>
    <n v="80111600"/>
    <n v="11"/>
    <n v="1"/>
    <n v="0"/>
    <n v="97221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7"/>
    <x v="1"/>
    <s v="Sub. Gestión Humana"/>
    <s v="Jose Andres Ponce Caicedo"/>
    <s v="Adición y prórroga al contrato 180-2025 cuyo objeto es: &quot; SGH - Prestar servicios profesionales en la Subdireccion de Gestion Humana de la UAE Cuerpo Oficial de Bomberos en el proceso de ausentismo, recobro de incapacidades y los subprocesos directamente relacionados &quot;"/>
    <s v="25 - contrato de prestacion de servicios profesionales"/>
    <n v="80111600"/>
    <n v="11"/>
    <n v="1.5"/>
    <n v="15"/>
    <n v="114608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8"/>
    <x v="1"/>
    <s v="Sub. Gestión Humana"/>
    <s v="Jose Andres Ponce Caicedo"/>
    <s v="Adición y prórroga al contrato 147-2025 cuyo objeto es: &quot; SGH - Prestar servicios profesionales para apoyar el programa de desórdenes musculoesqueléticos de la UAE Cuerpo Oficial de Bomberos de Bogotá&quot;.&quot;"/>
    <s v="25 - contrato de prestacion de servicios profesionales"/>
    <n v="80111600"/>
    <n v="11"/>
    <n v="1.5"/>
    <n v="0"/>
    <n v="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29"/>
    <x v="1"/>
    <s v="Sub. Gestión Humana"/>
    <s v="Jose Andres Ponce Caicedo"/>
    <s v="Adición y prórroga al contrato 136-2025 cuyo objeto es: &quot; SGH - Prestar servicios profesionales para la implementación y seguimiento del sistema de gestión de seguridad y salud en el trabajo en la Subdirección de Gestión Humana.&quot;"/>
    <s v="25 - contrato de prestacion de servicios profesionales"/>
    <n v="80111600"/>
    <n v="11"/>
    <n v="2.6333333333333333"/>
    <n v="0"/>
    <n v="173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0"/>
    <x v="1"/>
    <s v="Sub. Gestión Humana"/>
    <s v="Jose Andres Ponce Caicedo"/>
    <s v="Adición y prórroga al contrato 139-2025 cuyo objeto es: &quot;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quot;"/>
    <s v="25 - contrato de prestacion de servicios profesionales"/>
    <n v="80111600"/>
    <n v="11"/>
    <n v="1"/>
    <n v="0"/>
    <n v="1161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1"/>
    <x v="1"/>
    <s v="Sub. Gestión Humana"/>
    <s v="Jose Andres Ponce Caicedo"/>
    <s v="Adición y prórroga al contrato 186-2025 cuyo objeto es: &quot;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quot;"/>
    <s v="26 - contrato de prestacion de servicios de apoyo a la gestion"/>
    <n v="80111600"/>
    <n v="11"/>
    <n v="1.5"/>
    <n v="0"/>
    <n v="690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2"/>
    <x v="1"/>
    <s v="Sub. Gestión Humana"/>
    <s v="Jose Andres Ponce Caicedo"/>
    <s v="Adición y prórroga al contrato 203-2025 cuyo objeto es: &quot; SGH - Prestar servicios de apoyo para ejecutar actividades en la gestión de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1.5"/>
    <n v="0"/>
    <n v="59112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3"/>
    <x v="1"/>
    <s v="Sub. Gestión Humana"/>
    <s v="Jose Andres Ponce Caicedo"/>
    <s v="Adición y prórroga al contrato 129-2025 cuyo objeto es: &quot;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quot;"/>
    <s v="25 - contrato de prestacion de servicios profesionales"/>
    <n v="80111600"/>
    <n v="11"/>
    <n v="2"/>
    <n v="0"/>
    <n v="1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1"/>
    <s v="Si Secop "/>
  </r>
  <r>
    <n v="20251134"/>
    <x v="1"/>
    <s v="Sub. Gestión Humana"/>
    <s v="Jose Andres Ponce Caicedo"/>
    <s v="Adición y prórroga al contrato 397-2025 cuyo objeto es: &quot; SGH-Prestar servicios profesionales para acompañar a la subdirección de gestión humana en el desarrollo de las actividades realizadas en el marco de la actuación del comité de mujer y género&quot;"/>
    <s v="25 - contrato de prestacion de servicios profesionales"/>
    <n v="80111600"/>
    <n v="11"/>
    <n v="1"/>
    <n v="0"/>
    <n v="71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5"/>
    <x v="1"/>
    <s v="Sub. Gestión Humana"/>
    <s v="Jose Andres Ponce Caicedo"/>
    <s v="Adición y prórroga al contrato 235-2025 cuyo objeto es: &quot; SGH - Prestar servicios profesionales para acompañar a la Subdireccion de Gestion Humana en la planeacion, trámite y seguimiento de los aspectos presupuestales, financieros y contractuales a cargo de la dependencia&quot;"/>
    <s v="25 - contrato de prestacion de servicios profesionales"/>
    <n v="80111600"/>
    <n v="11"/>
    <n v="2"/>
    <n v="0"/>
    <n v="16000000.00000000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6"/>
    <x v="1"/>
    <s v="Sub. Gestión Humana"/>
    <s v="Jose Andres Ponce Caicedo"/>
    <s v="Adición y prórroga al contrato 208-2025 cuyo objeto es: &quot;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quot;"/>
    <s v="25 - contrato de prestacion de servicios profesionales"/>
    <n v="80111600"/>
    <n v="11"/>
    <n v="1.5"/>
    <n v="0"/>
    <n v="109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37"/>
    <x v="0"/>
    <s v="Dirección Tic"/>
    <s v="Paula Ximena Henao Escobar"/>
    <s v="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
    <s v="25 - contrato de prestacion de servicios profesionales"/>
    <n v="80111600"/>
    <n v="10"/>
    <n v="3"/>
    <n v="0"/>
    <n v="5529736"/>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Si Secop "/>
  </r>
  <r>
    <n v="20251138"/>
    <x v="2"/>
    <s v="Dirección Tic"/>
    <s v="Paula Ximena Henao Escobar"/>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19 - contrato de renovacion de licencias"/>
    <s v="81112501; 43232102; 43231512; 81111808; 81111805; 81112217"/>
    <n v="10"/>
    <n v="12"/>
    <n v="0"/>
    <n v="31174511"/>
    <x v="1"/>
    <s v="09 - contratación directa"/>
    <s v="No aplica"/>
    <s v="NA"/>
    <s v="NA"/>
    <s v="NA"/>
    <s v="N/A"/>
    <s v="N/A"/>
    <s v="N/A-N/A"/>
    <s v="N/A"/>
    <s v="N/A"/>
    <s v="N/A_N/A"/>
    <s v="N/A-N/A N/A_N/A"/>
    <s v="NANANAN/AN/A"/>
    <s v="N/A"/>
    <x v="21"/>
    <s v="Si Secop "/>
  </r>
  <r>
    <n v="20251139"/>
    <x v="1"/>
    <s v="Sub. Operativa"/>
    <s v="Yenire Yohansy Lozano Ascanio"/>
    <s v="Adquisición de aparatos de respiración autónoma (SCBA) para la atención de emergencias"/>
    <s v="06 - contrato de compraventa"/>
    <s v="46182001_x000a_46182004_x000a_46182201"/>
    <n v="12"/>
    <n v="4"/>
    <n v="0"/>
    <n v="6850311197"/>
    <x v="3"/>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x v="3"/>
    <s v="Si Secop "/>
  </r>
  <r>
    <n v="20251141"/>
    <x v="0"/>
    <s v="Sub. Gestión Corporativa"/>
    <s v="Fatima Veronica Quintero Nuñez"/>
    <s v="Prestar servicios profesionales especializados como ingeniero electrónico para apoyar las actividades propias que contribuyan al desarrollo de la infraestructura requerida por la entidad para la adecuada prestación del servicio-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142"/>
    <x v="0"/>
    <s v="Sub. Gestión Corporativa"/>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143"/>
    <x v="0"/>
    <s v="Sub. Gestión Corporativa"/>
    <s v="Fatima Veronica Quintero Nuñez"/>
    <s v="Prestación de servicios profesionales especializados en el acompañamiento y asistencia al proceso de gestión documental de la UAE Cuerpo oficial de Bomberos. -SGC"/>
    <s v="25 - contrato de prestacion de servicios profesionales"/>
    <s v="80111600;"/>
    <n v="10"/>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144"/>
    <x v="0"/>
    <s v="Sub. Gestión Corporativa"/>
    <s v="Fatima Veronica Quintero Nuñez"/>
    <s v="Adición No. 3 y Prórroga No. 4 del Contra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_x000a_72121400; _x000a_72151700;_x000a_72154000;_x000a_72101500"/>
    <n v="10"/>
    <n v="0"/>
    <n v="2"/>
    <n v="7647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No Secop"/>
  </r>
  <r>
    <n v="20251145"/>
    <x v="0"/>
    <s v="Sub. Gestión Corporativa"/>
    <s v="Fatima Veronica Quintero Nuñez"/>
    <s v="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_x000a_81101500; _x000a_72101500; _x000a_72121400"/>
    <n v="10"/>
    <n v="0"/>
    <n v="2"/>
    <n v="2353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4"/>
    <s v="No Secop"/>
  </r>
  <r>
    <n v="20251146"/>
    <x v="2"/>
    <s v="Sub. Gestión Corporativa"/>
    <s v="Fatima Veronica Quintero Nuñez"/>
    <s v="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
    <s v="06 - concurso de méritos abierto"/>
    <n v="84131500"/>
    <n v="11"/>
    <n v="12"/>
    <s v="-"/>
    <s v=" -   "/>
    <x v="4"/>
    <s v="06 - concurso de méritos abierto"/>
    <s v="No aplica"/>
    <s v="NA"/>
    <s v="NA"/>
    <s v="NA"/>
    <s v="N/A"/>
    <s v="N/A"/>
    <s v="N/A-N/A"/>
    <s v="N/A"/>
    <s v="N/A"/>
    <s v="N/A_N/A"/>
    <s v="N/A-N/A N/A_N/A"/>
    <s v="NANANAN/AN/A"/>
    <s v="N/A"/>
    <x v="2"/>
    <s v="Si Secop "/>
  </r>
  <r>
    <n v="20251147"/>
    <x v="0"/>
    <s v="Oficina Juridica"/>
    <s v="Monica Perez Barragan"/>
    <s v="Adición y prórroga al contrato 531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25 - contrato de prestacion de servicios profesionales"/>
    <n v="80111600"/>
    <n v="8"/>
    <n v="3"/>
    <n v="0"/>
    <n v="7125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48"/>
    <x v="0"/>
    <s v="Oficina Juridica"/>
    <s v="Monica Perez Barragan"/>
    <s v="Adición y prórroga al contrato 556 de 2025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8"/>
    <n v="3"/>
    <n v="0"/>
    <n v="83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49"/>
    <x v="0"/>
    <s v="Oficina Juridica"/>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0401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0"/>
    <x v="0"/>
    <s v="Oficina Juridica"/>
    <s v="Monica Perez Barragan"/>
    <s v="Prestar los servicios profesionales jurídicos especializados para apoyar el desarrollo de las funciones de la Oficina Jurídica"/>
    <s v="25 - contrato de prestacion de servicios profesionales"/>
    <n v="80111600"/>
    <n v="8"/>
    <n v="5"/>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1151"/>
    <x v="0"/>
    <s v="Oficina Juridica"/>
    <s v="Monica Perez Barragan"/>
    <s v="Adición y prórroga al contrato 581 de 2025 cuyo objeto es: &quot;Prestar los servicios de apoyo para las gestiones administrativas requeridas en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52"/>
    <x v="0"/>
    <s v="Oficina Juridica"/>
    <s v="Monica Perez Barragan"/>
    <s v="Adición y prórroga al contrato 575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53"/>
    <x v="0"/>
    <s v="Oficina Juridica"/>
    <s v="Monica Perez Barragan"/>
    <s v="Adición y prórroga al contrato 558 de 2025 cuyo objeto es: &quot;Prestar los servicios de apoyo para las gestiones documentales y administrativas requerida por la Oficina  Jurídica&quot;."/>
    <s v="26 - contrato de prestacion de servicios de apoyo a la gestion"/>
    <n v="80111600"/>
    <n v="8"/>
    <n v="3"/>
    <n v="0"/>
    <n v="5667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54"/>
    <x v="0"/>
    <s v="Oficina Juridica"/>
    <s v="Monica Perez Barragan"/>
    <s v="Adición y prórroga al contrato 569 de 2025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8"/>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5"/>
    <x v="0"/>
    <s v="Oficina Juridica"/>
    <s v="Monica Perez Barragan"/>
    <s v="Adición y prórroga al contrato 576 de 2025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8"/>
    <n v="5"/>
    <n v="0"/>
    <n v="11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6"/>
    <x v="0"/>
    <s v="Oficina Juridica"/>
    <s v="Monica Perez Barragan"/>
    <s v="Adición y prórroga al contrato 571 de 2025 cuyo objeto es: &quot;Prestar los servicios profesionales jurídicos especializados para orientar y apoyar los procesos de contratación en sus diferentes etapas adelantados por la Oficina Jurídica, tendientes a garantizar las necesidades propias de la UAECOB&quot;"/>
    <s v="25 - contrato de prestacion de servicios profesionales"/>
    <n v="80111600"/>
    <n v="8"/>
    <n v="5"/>
    <n v="0"/>
    <n v="4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7"/>
    <x v="0"/>
    <s v="Oficina Juridica"/>
    <s v="Monica Perez Barragan"/>
    <s v="Adición y prórroga al contrato 585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8"/>
    <n v="5"/>
    <n v="0"/>
    <n v="15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8"/>
    <x v="0"/>
    <s v="Oficina Juridica"/>
    <s v="Monica Perez Barragan"/>
    <s v="Adición y prórroga al contrato 545 de 2025 cuyo objeto es: &quot;Prestar los servicios profesionales jurídicos para apoyar las actuaciones procesales y procedimentales de la Oficina Jurídica&quot;"/>
    <s v="25 - contrato de prestacion de servicios profesionales"/>
    <n v="80111600"/>
    <n v="5"/>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59"/>
    <x v="1"/>
    <s v="Sub. Gestión Humana"/>
    <s v="Jose Andres Ponce Caicedo"/>
    <s v="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12"/>
    <n v="1"/>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162"/>
    <x v="1"/>
    <s v="Sub. Gestión Humana"/>
    <s v="Jose Andres Ponce Caicedo"/>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25 - contrato de prestacion de servicios profesionales"/>
    <n v="80111600"/>
    <n v="11"/>
    <n v="3"/>
    <n v="0"/>
    <n v="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63"/>
    <x v="0"/>
    <s v="Oficina de Control Interno"/>
    <s v="Jaime Hernando Arias Patiño"/>
    <s v="Adición y prórroga al contrato 039 de 2025 &quot;Prestar los servicios profesionales  como abogado en la Oficina de Control Interno para el desarrollo del Plan Anual de Auditorías.&quot;"/>
    <s v="25 - contrato de prestacion de servicios profesionales"/>
    <n v="80111600"/>
    <n v="12"/>
    <n v="1"/>
    <n v="5"/>
    <n v="8942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64"/>
    <x v="0"/>
    <s v="Oficina de Control Interno"/>
    <s v="Jaime Hernando Arias Patiño"/>
    <s v="Adición y prórroga al contrato 123 de 2025 &quot;Prestar los servicios profesionales como contador publico en la Oficina de Control Interno para el desarrollo del Plan Anual de Auditorías.&quot;"/>
    <s v="25 - contrato de prestacion de servicios profesionales"/>
    <n v="80111600"/>
    <n v="12"/>
    <n v="0"/>
    <n v="22"/>
    <n v="5621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65"/>
    <x v="0"/>
    <s v="Oficina de Control Interno"/>
    <s v="Jaime Hernando Arias Patiño"/>
    <s v="Adición y prórroga al contrato 272 de 2025 &quot;Prestar los servicios profesionales  en la Oficina de Control Interno para el desarrollo del Plan Anual de Auditorías.&quot;"/>
    <s v="25 - contrato de prestacion de servicios profesionales"/>
    <n v="80111600"/>
    <n v="10"/>
    <n v="2"/>
    <n v="12"/>
    <n v="18396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66"/>
    <x v="0"/>
    <s v="Oficina de Control Interno"/>
    <s v="Jaime Hernando Arias Patiño"/>
    <s v="Adición y prórroga al contrato 128 de 2025 &quot;Prestar los servicios profesionales  en la Oficina de Control Interno para el desarrollo del Plan Anual de Auditorías.&quot;"/>
    <s v="25 - contrato de prestacion de servicios profesionales"/>
    <n v="80111600"/>
    <n v="12"/>
    <n v="0"/>
    <n v="22"/>
    <n v="339429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67"/>
    <x v="0"/>
    <s v="Oficina de Control Interno"/>
    <s v="Jaime Hernando Arias Patiño"/>
    <s v="Adición y prórroga al contrato 077 de 2025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2"/>
    <n v="0"/>
    <n v="27"/>
    <n v="344160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168"/>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7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Si Secop "/>
  </r>
  <r>
    <n v="20251170"/>
    <x v="1"/>
    <s v="Sub. Gestión Humana"/>
    <s v="Jose Andres Ponce Caicedo"/>
    <s v="Adición y prórroga al contrato 533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171"/>
    <x v="1"/>
    <s v="Sub. Gestión Humana"/>
    <s v="Jose Andres Ponce Caicedo"/>
    <s v="Adición y prórroga al contrato 536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77415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172"/>
    <x v="1"/>
    <s v="Sub. Gestión Humana"/>
    <s v="Jose Andres Ponce Caicedo"/>
    <s v="Adición y prórroga al contrato 525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174"/>
    <x v="1"/>
    <s v="Sub. Logística"/>
    <s v="Omer Mauricio Rivera Ruiz"/>
    <s v="Contratar el mantenimiento y recarga de los extintores y otros elementos pertinentes para la U.A.E. Cuerpo Oficial de Bomberos de Bogotá. - SBLG"/>
    <s v="25 - contrato de prestacion de servicios profesionales"/>
    <s v="72101509, 46191600, 46191506, 46191601"/>
    <n v="11"/>
    <n v="5"/>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3"/>
    <s v="Si Secop "/>
  </r>
  <r>
    <n v="20251175"/>
    <x v="1"/>
    <s v="Sub. Logística"/>
    <s v="Omer Mauricio Rivera Ruiz"/>
    <s v="Adición y prorroga al contrato 218-2025 cuyo objeto es : &quot;Prestar servicios profesionales para apoyar en los diferentes procesos de planeación,  administrativos e inventario de la Subdirección Logística – SBLG&quot;. "/>
    <s v="25 - contrato de prestacion de servicios profesionales"/>
    <n v="80111600"/>
    <n v="11"/>
    <n v="2"/>
    <n v="0"/>
    <n v="1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0"/>
    <s v="No Secop"/>
  </r>
  <r>
    <n v="20251176"/>
    <x v="1"/>
    <s v="Sub. Logística"/>
    <s v="Omer Mauricio Rivera Ruiz"/>
    <s v="Adición y prorroga al contrato 555-2025 cuyo objeto es: &quot;Suministrar combustible para los vehículos, y equipos especializados de la U.A.E. Cuerpo Oficial de Bomberos Bogotá dentro y fuera del perímetro del distrito capital de la  - SBLG&quot;."/>
    <s v="08 - contrato de suministro"/>
    <n v="15101500"/>
    <n v="12"/>
    <n v="3"/>
    <n v="0"/>
    <n v="205204091"/>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7"/>
    <s v="No Secop"/>
  </r>
  <r>
    <n v="20251177"/>
    <x v="1"/>
    <s v="Sub. Operativa"/>
    <s v="Yenire Yohansy Lozano Ascanio"/>
    <s v="Prestación de servicios de apoyo al proceso de comunicaciones en emergencias del centro de coordinación y comunicaciones (c.c.c.), para el desarrollo de los programas a cargo de la Subdirección Operativa-S.O."/>
    <s v="26 - contrato de prestacion de servicios de apoyo a la gestion"/>
    <n v="80111600"/>
    <n v="11"/>
    <n v="8"/>
    <n v="0"/>
    <n v="24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Si Secop "/>
  </r>
  <r>
    <n v="20251178"/>
    <x v="0"/>
    <s v="Sub. Gestión Corporativa"/>
    <s v="Fatima Veronica Quintero Nuñez"/>
    <s v="Adición y prórroga No. 1 al contrato 597 de 2025  que tiene como objeto &quot; Contratar la prestación del servicio de aseo y cafetería incluido insumos para la UAE Cuerpo Oficial de Bomberos -SGC&quot;"/>
    <s v="03 - contrato de prestacion de servicios"/>
    <s v="44121700;_x000a_44121800;_x000a_44121900;_x000a_44122000"/>
    <n v="11"/>
    <n v="1"/>
    <n v="0"/>
    <n v="63277320"/>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5"/>
    <s v="No Secop"/>
  </r>
  <r>
    <n v="20251179"/>
    <x v="1"/>
    <s v="Sub. Operativa"/>
    <s v="Yenire Yohansy Lozano Ascanio"/>
    <s v="Adquisición de herramientas de corte para la atención de emergencias  para  la UAE Cuerpo Oficial de Bomberos de Bogota -S.O."/>
    <s v="01 - orden de compra"/>
    <s v="23101512;_x000a_27111508;_x000a_27112709"/>
    <n v="11"/>
    <n v="2"/>
    <n v="0"/>
    <n v="63324660"/>
    <x v="3"/>
    <s v="17 - acuerdo marco de precios"/>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x v="3"/>
    <s v="Si Secop "/>
  </r>
  <r>
    <n v="20251180"/>
    <x v="1"/>
    <s v="Sub. Gestión Corporativa"/>
    <s v="Fatima Veronica Quintero Nuñez"/>
    <s v="Actualización del sistema de la red contraincendios y sistemas de detención de alarmas contra incendios de las estaciones de bomberos de la UAE- Cuerpo Oficial de Bomberos Bogotá SGC"/>
    <s v="03 - contrato de prestacion de servicios"/>
    <s v="72101500; 92101600; 951217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1182"/>
    <x v="1"/>
    <s v="Sub. Gestión Corporativa"/>
    <s v="Fatima Veronica Quintero Nuñez"/>
    <s v="Actualización de las transferencias, repuestos y redes de la infraestructura de las Plantas Eléctricas de las edificaciones de la Unidad Administrativa Especial del Cuerpo Oficial de Bomberos Bogotá D.C -SGC"/>
    <s v="03 - contrato de prestacion de servicios"/>
    <s v="72151800;_x000a_72151500;_x000a_731521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1184"/>
    <x v="1"/>
    <s v="Sub. Gestión Riesgos"/>
    <s v="William Tovar Segura"/>
    <s v="Adicion y prorroga CTO 632-2025  &quot;_x0009_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quot;. (LOTES 1,2 Y 3)"/>
    <s v="11 - orden de prestacion de servicios"/>
    <s v="80141900_x000a_90111500_x000a_90111600_x000a_80141600_x000a_80161502"/>
    <n v="11"/>
    <n v="2"/>
    <n v="0"/>
    <n v="935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1185"/>
    <x v="1"/>
    <s v="Sub. Gestión Riesgos"/>
    <s v="William Tovar Segura"/>
    <s v="Adicion y prorroga CTO 633-2025 &quot;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 4)"/>
    <s v="11 - orden de prestacion de servicios"/>
    <s v="80141900_x000a_90111500_x000a_90111600_x000a_80141600_x000a_80161502"/>
    <n v="11"/>
    <n v="2"/>
    <n v="0"/>
    <n v="18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x v="0"/>
    <s v="No Secop"/>
  </r>
  <r>
    <n v="20251186"/>
    <x v="1"/>
    <s v="Sub. Gestión Riesgos"/>
    <s v="William Tovar Segura"/>
    <s v="Adicion y prorroga CTO   479- 2025 &quot;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quot;"/>
    <s v="11 - orden de prestacion de servicios"/>
    <s v="78121600_x000a_78131800_x000a_92111600_x000a_72141500"/>
    <n v="12"/>
    <n v="2"/>
    <n v="0"/>
    <n v="137075317"/>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No Secop"/>
  </r>
  <r>
    <n v="20251187"/>
    <x v="0"/>
    <s v="Dirección"/>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11"/>
    <n v="2"/>
    <n v="15"/>
    <n v="938379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188"/>
    <x v="0"/>
    <s v="Oficina Juridica"/>
    <s v="Monica Perez Barragan"/>
    <s v="Prestar el servicio de apoyo técnico y operativo a la gestión de los procesos disciplinarios en la etapa de juzgamiento, mediante la ejecución de tareas administrativas, logísticas y de soporte documental en la Oficina Jurídica"/>
    <s v="25 - contrato de prestacion de servicios profesionales"/>
    <n v="80111600"/>
    <n v="11"/>
    <n v="2"/>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189"/>
    <x v="0"/>
    <s v="Dirección Tic"/>
    <s v="Paula Ximena Henao Escobar"/>
    <s v="Adición y prórroga al contrato 782  de 2024 cuyo objeto es: &quot;Contratar el suministro de solucion para  protección y prevención de amenazas a puntos finales y servidores de la U.A.E. Cuerpo Oficial de Bomberos de Bogotá - TIC&quot;"/>
    <s v="24 - contrato de servicio"/>
    <s v="43222500, 43233200, 81111800, 81112200"/>
    <n v="12"/>
    <n v="6"/>
    <n v="0"/>
    <n v="239502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0"/>
    <s v="No Secop"/>
  </r>
  <r>
    <n v="20251190"/>
    <x v="0"/>
    <s v="Dirección Tic"/>
    <s v="Paula Ximena Henao Escobar"/>
    <s v="Adición y prórroga al contrato 815 de 2024 cuyo objeto es: &quot;Contratar el servicio de soporte y mantenimiento del sistema de control de acceso para los visitantes y los funcionarios de la U.A.E. Cuerpo Oficial Bomberos de Bogotá&quot;"/>
    <s v="24 - contrato de servicio"/>
    <s v="46171619, 81111805 ,81112208 "/>
    <n v="12"/>
    <n v="6"/>
    <n v="0"/>
    <n v="192750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2"/>
    <s v="No Secop"/>
  </r>
  <r>
    <n v="20251191"/>
    <x v="1"/>
    <s v="Sub. Logística"/>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11"/>
    <n v="5"/>
    <n v="0"/>
    <n v="64000000"/>
    <x v="0"/>
    <s v="04 - contratación mínima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Si Secop "/>
  </r>
  <r>
    <n v="20251192"/>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4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Si Secop "/>
  </r>
  <r>
    <n v="20251193"/>
    <x v="0"/>
    <s v="Oficina Juridica"/>
    <s v="Monica Perez Barragan"/>
    <s v="Adición y prórroga al contrato 548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84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94"/>
    <x v="0"/>
    <s v="Oficina Juridica"/>
    <s v="Monica Perez Barragan"/>
    <s v="Adición y prórroga al contrato 590 de 2025 cuyo objeto es: &quot;Prestar los servicios profesionales jurídicos para apoyar las actividades propias de la gestión contractual que adelanta la Oficina Jurídica&quot;"/>
    <s v="25 - contrato de prestacion de servicios profesionales"/>
    <n v="80111600"/>
    <n v="8"/>
    <n v="5"/>
    <n v="0"/>
    <n v="10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1"/>
    <s v="No Secop"/>
  </r>
  <r>
    <n v="20251195"/>
    <x v="1"/>
    <s v="Sub. Gestión Humana"/>
    <s v="Jose Andres Ponce Caicedo"/>
    <s v="Adición y modificación al contrato 593-2025 cuyo objeto es &quot;SGH - Prestar los servicios de capacitación, formación y entrenamiento en cursos especializados  para el personal operativo de la UAE Cuerpo Oficial de Bomberos  de Bogotá en el marco del PIC&quot;"/>
    <s v="03 - contrato de prestacion de servicios"/>
    <s v="86101600, 86101700, 86101800, 86111600, 86141500,  86121800, 80111500,86131800"/>
    <n v="11"/>
    <n v="3"/>
    <n v="0"/>
    <n v="93232195"/>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No Secop"/>
  </r>
  <r>
    <n v="20251196"/>
    <x v="1"/>
    <s v="Sub. Gestión Humana"/>
    <s v="Jose Andres Ponce Caicedo"/>
    <s v="SGH - Prestar los servicios de capacitación y formación  para el curso instructor de fuego I - Proboard para el personal operativo de la Unidad Administrativa Especial Cuerpo Oficial de Bomberos. "/>
    <s v="03 - contrato de prestacion de servicios"/>
    <s v="86101600, 86101700, 86101800, 86111600, 86141500,  86121800, 80111500,86131800"/>
    <n v="11"/>
    <n v="3"/>
    <n v="0"/>
    <n v="9877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197"/>
    <x v="1"/>
    <s v="Sub. Gestión Corporativa"/>
    <s v="Fatima Veronica Quintero Nuñez"/>
    <s v="Adquisición de lavadoras industriales para las instalaciones de la UAE Cuerpo Oficial de Bomberos de Bogotá-SGC"/>
    <s v="06 - contrato de compraventa"/>
    <s v="47111500; 47111700"/>
    <n v="8"/>
    <n v="3"/>
    <n v="0"/>
    <n v="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3"/>
    <s v="Si Secop "/>
  </r>
  <r>
    <n v="20251198"/>
    <x v="1"/>
    <s v="Sub. Logística"/>
    <s v="Omer Mauricio Rivera Ruiz"/>
    <s v="Adicion al contrato 610-2025 cuyo objeto es: &quot;Suministro de alimentación e hidratación para el cuerpo operativo en la atención de emergencias, entrenamientos, capacitaciones y actividades de prevención.-SBLG&quot; "/>
    <s v="08 - contrato de suministro"/>
    <s v="90101800;90101600;50192700;50112000;50202311;50201709;50161509;50192110;93131602; 50161500; 50192100; 50181900; 50101700."/>
    <n v="12"/>
    <n v="3"/>
    <n v="0"/>
    <n v="78790045"/>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6"/>
    <s v="No Secop"/>
  </r>
  <r>
    <n v="20251199"/>
    <x v="1"/>
    <s v="Sub. Operativa"/>
    <s v="Yenire Yohansy Lozano Ascanio"/>
    <s v="ADICIÓN Y PRÓRROGA al contrato de prestación de servicios # 413-2025, cuyo objeto es: &quot;Prestación de servicios de apoyo a la gestión en las actividades documentales, administrativas y manejo de las herramientas de gestión que demanda la Subdirección Operativa S.O.&quot;"/>
    <s v="26 - contrato de prestacion de servicios de apoyo a la gestion"/>
    <n v="80111600"/>
    <n v="12"/>
    <n v="4"/>
    <n v="0"/>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1200"/>
    <x v="1"/>
    <s v="Sub. Operativa"/>
    <s v="Yenire Yohansy Lozano Ascanio"/>
    <s v="ADICIÓN Y PRÓRROGA al contrato de prestación de servicios # 222-2025, cuyo objeto es:&quot;prestación de servicios profesionales para la consolidación, seguimiento y reporte de las actividades del plan de mejoramiento, normograma y mapa de riesgos relacionados con los procesos y procedimientos misionales de la dependencia. S.O.&quot; "/>
    <s v="25 - contrato de prestacion de servicios profesionales"/>
    <n v="80111600"/>
    <n v="12"/>
    <n v="4"/>
    <n v="24"/>
    <n v="33681429"/>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1201"/>
    <x v="1"/>
    <s v="Sub. Logística"/>
    <s v="Omer Mauricio Rivera Ruiz"/>
    <s v="Adicion al contrato 622-2025 cuyo objeto es: ¨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334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x v="3"/>
    <s v="No Secop"/>
  </r>
  <r>
    <n v="20251202"/>
    <x v="1"/>
    <s v="Sub. Gestión Humana"/>
    <s v="Jose Andres Ponce Caicedo"/>
    <s v="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
    <s v="25 - contrato de prestacion de servicios profesionales"/>
    <n v="80111600"/>
    <n v="12"/>
    <n v="3"/>
    <n v="0"/>
    <n v="21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x v="0"/>
    <s v="Si Secop "/>
  </r>
  <r>
    <n v="20251203"/>
    <x v="1"/>
    <s v="Sub. Gestión Riesgos"/>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2"/>
    <n v="1"/>
    <n v="15"/>
    <n v="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x v="0"/>
    <s v="Si Secop "/>
  </r>
  <r>
    <n v="20251205"/>
    <x v="0"/>
    <s v="Dirección Tic"/>
    <s v="Paula Ximena Henao Escobar"/>
    <s v="Adición y prórroga Cto. 54 de 2025 cuyo objeto es: &quot;Prestar los servicios profesionales jurídicos para apoyar las actividades propias de la gestión contractual que adelanta la UAE Cuerpo Oficial de Bomberos&quot;"/>
    <s v="25 - contrato de prestacion de servicios profesionales"/>
    <n v="80111600"/>
    <n v="12"/>
    <n v="1"/>
    <n v="0"/>
    <n v="20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No Secop"/>
  </r>
  <r>
    <n v="20251206"/>
    <x v="0"/>
    <s v="Dirección Tic"/>
    <s v="Paula Ximena Henao Escobar"/>
    <s v="Adición y prórroga Cto. 534  de 2025 cuyo objeto es: 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12"/>
    <n v="1"/>
    <n v="0"/>
    <n v="13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No Secop"/>
  </r>
  <r>
    <n v="20251207"/>
    <x v="0"/>
    <s v="Dirección Tic"/>
    <s v="Paula Ximena Henao Escobar"/>
    <s v="Adición y prórroga Cto. 552 de 2025  cuyo objeto es: 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12"/>
    <n v="1"/>
    <n v="0"/>
    <n v="442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x v="1"/>
    <s v="No Secop"/>
  </r>
  <r>
    <n v="20251208"/>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Si Secop "/>
  </r>
  <r>
    <n v="20251209"/>
    <x v="0"/>
    <s v="Sub. Gestión Corporativa"/>
    <s v="Fatima Veronica Quintero Nuñez"/>
    <s v=" Reconocimiento pasivo exigible contrato de prestación servicios No 137 de 2019 suscrito con YECENIA CADENA SERRANO,  Reconoce $359.147  "/>
    <s v="12 - resolucion"/>
    <s v="N/A"/>
    <s v="N/A"/>
    <s v="N/A"/>
    <s v="N/A"/>
    <n v="359147"/>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210"/>
    <x v="0"/>
    <s v="Sub. Gestión Corporativa"/>
    <s v="Fatima Veronica Quintero Nuñez"/>
    <s v=" Reconocimiento pasivo exigible contrato de prestación servicios No 321 de 2022 suscrito con YECENIA CADENA SERRANO,  Reconoce $359.147  "/>
    <s v="12 - resolucion"/>
    <s v="N/A"/>
    <s v="N/A"/>
    <s v="N/A"/>
    <s v="N/A"/>
    <n v="147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9"/>
    <s v="No Secop"/>
  </r>
  <r>
    <n v="20251211"/>
    <x v="2"/>
    <s v="Sub. Gestión Corporativa"/>
    <s v="Fatima Veronica Quintero Nuñez"/>
    <s v="Adición y prórroga No. 1 al contrato 597 de 2025  que tiene como objeto &quot; Contratar la prestación del servicio de aseo y cafetería incluido insumos para la UAE Cuerpo Oficial de Bomberos -SGC"/>
    <s v="03 - contrato de prestacion de servicios"/>
    <s v="44121700;44121800;44121900;44122000"/>
    <n v="12"/>
    <n v="0"/>
    <n v="18"/>
    <n v="16481819"/>
    <x v="1"/>
    <s v="17 - acuerdo marco de precios"/>
    <s v="No aplica"/>
    <s v="NA"/>
    <s v="NA"/>
    <s v="NA"/>
    <s v="N/A"/>
    <s v="N/A"/>
    <s v="N/A-N/A"/>
    <s v="N/A"/>
    <s v="N/A"/>
    <s v="N/A_N/A"/>
    <s v="N/A-N/A N/A_N/A"/>
    <s v="NANANAN/AN/A"/>
    <s v="N/A"/>
    <x v="2"/>
    <s v="No Secop"/>
  </r>
  <r>
    <n v="20251212"/>
    <x v="2"/>
    <s v="Sub. Gestión Corporativa"/>
    <s v="Fatima Veronica Quintero Nuñez"/>
    <s v="Adición y prórroga No. 1 al contrato 526 de 2025  que tiene como objeto &quot;  Suministro de insumos para lavandería-SGC"/>
    <s v="08 - contrato de suministro"/>
    <s v="44103100;"/>
    <n v="12"/>
    <n v="0"/>
    <n v="0"/>
    <n v="5000000"/>
    <x v="1"/>
    <s v="04 - contratación mínima cuantía"/>
    <s v="No aplica"/>
    <s v="NA"/>
    <s v="NA"/>
    <s v="NA"/>
    <s v="N/A"/>
    <s v="N/A"/>
    <s v="N/A-N/A"/>
    <s v="N/A"/>
    <s v="N/A"/>
    <s v="N/A_N/A"/>
    <s v="N/A-N/A N/A_N/A"/>
    <s v="NANANAN/AN/A"/>
    <s v="N/A"/>
    <x v="2"/>
    <s v="No Secop"/>
  </r>
  <r>
    <n v="20251213"/>
    <x v="2"/>
    <s v="Sub. Gestión Corporativa"/>
    <s v="Fatima Veronica Quintero Nuñez"/>
    <s v="Adición  No. 1 al contrato 330 de 2025  que tiene como objeto &quot;Prestar el servicio de recolección y dis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12"/>
    <n v="0"/>
    <n v="0"/>
    <n v="12317698"/>
    <x v="1"/>
    <s v="04 - contratación mínima cuantía"/>
    <s v="No aplica"/>
    <s v="NA"/>
    <s v="NA"/>
    <s v="NA"/>
    <s v="N/A"/>
    <s v="N/A"/>
    <s v="N/A-N/A"/>
    <s v="N/A"/>
    <s v="N/A"/>
    <s v="N/A_N/A"/>
    <s v="N/A-N/A N/A_N/A"/>
    <s v="NANANAN/AN/A"/>
    <s v="N/A"/>
    <x v="2"/>
    <s v="No Secop"/>
  </r>
  <r>
    <n v="20251214"/>
    <x v="2"/>
    <s v="Sub. Gestión Corporativa"/>
    <s v="Fatima Veronica Quintero Nuñez"/>
    <s v=" Reconocimiento y pago pasivo exigible contrato  No 409 de 2021 suscrito con PROCESOS Y SERVICIOS S.A.S , para Prestar los servicios de Custodia, Consulta y Traslado Documental de Acuerdo a las especificaciones Técnicas y requisitos contemplados en la normatividad Archivística Vigente-SGC. Reconoce el valor de $2.499.990."/>
    <s v="12 - resolucion"/>
    <s v="N/A"/>
    <s v="N/A"/>
    <s v="N/A"/>
    <s v="N/A"/>
    <n v="2499990"/>
    <x v="2"/>
    <s v="91 - n/a acto administrativo (resolución, decreto, acuerdo, etc.)"/>
    <s v="No aplica"/>
    <s v="NA"/>
    <s v="NA"/>
    <s v="NA"/>
    <s v="N/A"/>
    <s v="N/A"/>
    <s v="N/A-N/A"/>
    <s v="N/A"/>
    <s v="N/A"/>
    <s v="N/A_N/A"/>
    <s v="N/A-N/A N/A_N/A"/>
    <s v="NANANAN/AN/A"/>
    <s v="N/A"/>
    <x v="2"/>
    <s v="No Secop"/>
  </r>
  <r>
    <n v="20251215"/>
    <x v="2"/>
    <s v="Sub. Gestión Corporativa"/>
    <s v="Fatima Veronica Quintero Nuñez"/>
    <s v=" Reconocimiento y pago pasivo exigible contrato No 245 de 2019 suscrito con POOL SECURITY SOLUTION SAS , prestar los servicios de mantenimiento de la piscina construida en la estación de bomberos de kennedy  alejandro lince  b5, como escenario para el acondicionamiento físico y entrenamiento del personal delcuerpo oficial de bomberos de bogotá para el cumplimiento de su misionalidad Reconoce el valor de $ 4.255.729. "/>
    <s v="12 - resolucion"/>
    <s v="N/A"/>
    <s v="N/A"/>
    <s v="N/A"/>
    <s v="N/A"/>
    <n v="4255729"/>
    <x v="2"/>
    <s v="91 - n/a acto administrativo (resolución, decreto, acuerdo, etc.)"/>
    <s v="No aplica"/>
    <s v="NA"/>
    <s v="NA"/>
    <s v="NA"/>
    <s v="N/A"/>
    <s v="N/A"/>
    <s v="N/A-N/A"/>
    <s v="N/A"/>
    <s v="N/A"/>
    <s v="N/A_N/A"/>
    <s v="N/A-N/A N/A_N/A"/>
    <s v="NANANAN/AN/A"/>
    <s v="N/A"/>
    <x v="2"/>
    <s v="No Secop"/>
  </r>
  <r>
    <n v="20251216"/>
    <x v="2"/>
    <s v="Sub. Gestión Corporativa"/>
    <s v="Fatima Veronica Quintero Nuñez"/>
    <s v="Adición No. 1 al contrato 421 de 2025  que tiene como objeto &quot; Contratar el servicio de saneamiento ambiental, corte de césped, jardinería, poda y tala de árboles para las sedes (predios y/o estaciones) de la UAECOB-SGC"/>
    <s v="03 - contrato de prestacion de servicios"/>
    <s v="72102104; 76101503; 70111503; 72154055; 70111703; 70111706;"/>
    <n v="12"/>
    <n v="1"/>
    <n v="0"/>
    <n v="50000000"/>
    <x v="1"/>
    <s v=" 02 - selec. abrev. menor cuantía "/>
    <s v="No aplica"/>
    <s v="NA"/>
    <s v="NA"/>
    <s v="NA"/>
    <s v="N/A"/>
    <s v="N/A"/>
    <s v="N/A-N/A"/>
    <s v="N/A"/>
    <s v="N/A"/>
    <s v="N/A_N/A"/>
    <s v="N/A-N/A N/A_N/A"/>
    <s v="NANANAN/AN/A"/>
    <s v="N/A"/>
    <x v="2"/>
    <s v="No Secop"/>
  </r>
  <r>
    <n v="20251217"/>
    <x v="2"/>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12"/>
    <n v="4"/>
    <n v="19"/>
    <n v="32500000"/>
    <x v="1"/>
    <s v="09 - contratación directa"/>
    <s v="No aplica"/>
    <s v="NA"/>
    <s v="NA"/>
    <s v="NA"/>
    <s v="N/A"/>
    <s v="N/A"/>
    <s v="N/A-N/A"/>
    <s v="N/A"/>
    <s v="N/A"/>
    <s v="N/A_N/A"/>
    <s v="N/A-N/A N/A_N/A"/>
    <s v="NANANAN/AN/A"/>
    <s v="N/A"/>
    <x v="2"/>
    <s v="Si Secop "/>
  </r>
  <r>
    <n v="20251218"/>
    <x v="1"/>
    <s v="Sub. Operativa"/>
    <s v="Yenire Yohansy Lozano Ascanio"/>
    <s v="ADICIÓN Y PRÓRROGA AL CPS 117-2025 cuyo objeto es: prestación de servicios profesionales para realizar el diligenciamiento y seguimiento de las solicitudes en las herramientas de gestión de los procedimientos a cargo de la subdirección operativa -s.o."/>
    <s v="25 - contrato de prestacion de servicios profesionales"/>
    <n v="80111600"/>
    <n v="12"/>
    <n v="0"/>
    <n v="15"/>
    <n v="2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x v="0"/>
    <s v="No Secop"/>
  </r>
  <r>
    <n v="20251219"/>
    <x v="0"/>
    <s v="Sub. Gestión Corporativa"/>
    <s v="Fatima Veronica Quintero Nuñez"/>
    <s v="Adición y prórroga No. 2 al contrato No. 174 de 2025 que tiene como objeto &quot;Prestación de servicios profesionales en la Subdirección de Gestión Corporativa en las actividades relacionadas con MIPG-SGC"/>
    <s v="25 - contrato de prestacion de servicios profesionales"/>
    <s v="80111600;"/>
    <n v="12"/>
    <n v="0"/>
    <n v="20"/>
    <n v="916356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x v="0"/>
    <s v="No Secop"/>
  </r>
  <r>
    <n v="20251220"/>
    <x v="1"/>
    <s v="Sub. Gestión Corporativa"/>
    <s v="Fatima Veronica Quintero Nuñez"/>
    <s v=" Adición y prórroga No. 2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2"/>
    <n v="0"/>
    <n v="13"/>
    <n v="303333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x v="0"/>
    <s v="No Secop"/>
  </r>
  <r>
    <n v="20251221"/>
    <x v="1"/>
    <s v="Sub. Gestión Corporativa"/>
    <s v="Fatima Veronica Quintero Nuñez"/>
    <s v=" Adición y prórroga No. 2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2"/>
    <n v="0"/>
    <n v="13"/>
    <n v="325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No Secop"/>
  </r>
  <r>
    <n v="20251222"/>
    <x v="1"/>
    <s v="Sub. Gestión Corporativa"/>
    <s v="Fatima Veronica Quintero Nuñez"/>
    <s v=" Adición y prórroga No. 2 al contrato 346 de 2025 que tiene como objeto &quot;Prestar servicios profesionales para realizar acompañamiento en los procesos contractuales adelantados por la Subdirección Gestión Corporativa -SGC&quot;"/>
    <s v="25 - contrato de prestacion de servicios profesionales"/>
    <s v="80111600;"/>
    <n v="12"/>
    <n v="0"/>
    <n v="13"/>
    <n v="2962598"/>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x v="0"/>
    <s v="No Secop"/>
  </r>
  <r>
    <n v="20251223"/>
    <x v="1"/>
    <s v="Sub. Logística"/>
    <s v="Omer Mauricio Rivera Ruiz"/>
    <s v="Adicion al contrato 610-2025 cuyo objeto es: &quot;Suministro de alimentación e hidratación para el cuerpo operativo en la atención de emergencias, entrenamientos, capacitaciones y actividades de prevención.-SBLG&quot; "/>
    <s v="08 - contrato de suministro"/>
    <s v="90101800;90101600;50192700;50112000;50202311;50201709;50161509;50192110;93131602; 50161500; 50192100; 50181900; 50101700."/>
    <n v="12"/>
    <n v="3"/>
    <n v="0"/>
    <n v="39429572"/>
    <x v="3"/>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x v="6"/>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70757E-EACF-48D4-8E79-92940FCED156}" name="TablaDinámica2" cacheId="44"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B25" firstHeaderRow="1" firstDataRow="1" firstDataCol="1" rowPageCount="2" colPageCount="1"/>
  <pivotFields count="28">
    <pivotField showAll="0"/>
    <pivotField axis="axisPage" multipleItemSelectionAllowed="1" showAll="0">
      <items count="4">
        <item h="1" x="2"/>
        <item x="0"/>
        <item x="1"/>
        <item t="default"/>
      </items>
    </pivotField>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Page" outline="0" multipleItemSelectionAllowed="1" showAll="0" defaultSubtotal="0">
      <items count="5">
        <item x="1"/>
        <item x="0"/>
        <item x="3"/>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axis="axisRow" outline="0" showAll="0" defaultSubtotal="0">
      <items count="27">
        <item x="17"/>
        <item x="16"/>
        <item x="2"/>
        <item x="11"/>
        <item x="21"/>
        <item x="20"/>
        <item x="19"/>
        <item x="10"/>
        <item x="3"/>
        <item x="25"/>
        <item x="23"/>
        <item x="24"/>
        <item x="7"/>
        <item x="22"/>
        <item x="26"/>
        <item x="5"/>
        <item x="14"/>
        <item x="6"/>
        <item x="1"/>
        <item x="12"/>
        <item x="13"/>
        <item x="8"/>
        <item x="0"/>
        <item x="18"/>
        <item x="15"/>
        <item x="4"/>
        <item x="9"/>
      </items>
      <extLst>
        <ext xmlns:x14="http://schemas.microsoft.com/office/spreadsheetml/2009/9/main" uri="{2946ED86-A175-432a-8AC1-64E0C546D7DE}">
          <x14:pivotField fillDownLabels="1"/>
        </ext>
      </extLst>
    </pivotField>
    <pivotField showAll="0"/>
  </pivotFields>
  <rowFields count="1">
    <field x="26"/>
  </rowFields>
  <rowItems count="21">
    <i>
      <x v="1"/>
    </i>
    <i>
      <x v="8"/>
    </i>
    <i>
      <x v="9"/>
    </i>
    <i>
      <x v="10"/>
    </i>
    <i>
      <x v="11"/>
    </i>
    <i>
      <x v="12"/>
    </i>
    <i>
      <x v="13"/>
    </i>
    <i>
      <x v="14"/>
    </i>
    <i>
      <x v="15"/>
    </i>
    <i>
      <x v="16"/>
    </i>
    <i>
      <x v="17"/>
    </i>
    <i>
      <x v="18"/>
    </i>
    <i>
      <x v="19"/>
    </i>
    <i>
      <x v="20"/>
    </i>
    <i>
      <x v="21"/>
    </i>
    <i>
      <x v="22"/>
    </i>
    <i>
      <x v="23"/>
    </i>
    <i>
      <x v="24"/>
    </i>
    <i>
      <x v="25"/>
    </i>
    <i>
      <x v="26"/>
    </i>
    <i t="grand">
      <x/>
    </i>
  </rowItems>
  <colItems count="1">
    <i/>
  </colItems>
  <pageFields count="2">
    <pageField fld="11" hier="-1"/>
    <pageField fld="1" hier="-1"/>
  </pageFields>
  <dataFields count="1">
    <dataField name="Suma de Valor Programado" fld="10" baseField="25" baseItem="1" numFmtId="165"/>
  </dataFields>
  <formats count="2">
    <format dxfId="80">
      <pivotArea outline="0" collapsedLevelsAreSubtotals="1" fieldPosition="0"/>
    </format>
    <format dxfId="7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1111" totalsRowShown="0" headerRowDxfId="113" dataDxfId="111" headerRowBorderDxfId="112" tableBorderDxfId="110" totalsRowBorderDxfId="109">
  <autoFilter ref="B11:AC1111" xr:uid="{00000000-000C-0000-FFFF-FFFF00000000}"/>
  <sortState xmlns:xlrd2="http://schemas.microsoft.com/office/spreadsheetml/2017/richdata2" ref="B12:AC1111">
    <sortCondition sortBy="cellColor" ref="B11:B1111" dxfId="56"/>
  </sortState>
  <tableColumns count="28">
    <tableColumn id="1" xr3:uid="{00000000-0010-0000-0000-000001000000}" name="Id" dataDxfId="108" dataCellStyle="Millares"/>
    <tableColumn id="2" xr3:uid="{00000000-0010-0000-0000-000002000000}" name="Proyecto y nombre " dataDxfId="107" dataCellStyle="Millares"/>
    <tableColumn id="3" xr3:uid="{00000000-0010-0000-0000-000003000000}" name="Dependencia " dataDxfId="106"/>
    <tableColumn id="4" xr3:uid="{00000000-0010-0000-0000-000004000000}" name="Responsable" dataDxfId="105" dataCellStyle="Normal 2"/>
    <tableColumn id="5" xr3:uid="{00000000-0010-0000-0000-000005000000}" name="Objeto" dataDxfId="104"/>
    <tableColumn id="6" xr3:uid="{00000000-0010-0000-0000-000006000000}" name="Tipo de Contratación" dataDxfId="103"/>
    <tableColumn id="7" xr3:uid="{00000000-0010-0000-0000-000007000000}" name="Código UNSPSC (cada código separado por ;)" dataDxfId="102" dataCellStyle="Moneda"/>
    <tableColumn id="8" xr3:uid="{00000000-0010-0000-0000-000008000000}" name="Mes inicio de ejecución" dataDxfId="101"/>
    <tableColumn id="9" xr3:uid="{00000000-0010-0000-0000-000009000000}" name="plazo ejec Meses" dataDxfId="100"/>
    <tableColumn id="10" xr3:uid="{00000000-0010-0000-0000-00000A000000}" name="mas plazo ejec Días (si aplica)" dataDxfId="99" dataCellStyle="Millares"/>
    <tableColumn id="11" xr3:uid="{00000000-0010-0000-0000-00000B000000}" name="Valor Programado" dataDxfId="98" dataCellStyle="Millares"/>
    <tableColumn id="12" xr3:uid="{00000000-0010-0000-0000-00000C000000}" name="Fuente de Recursos" dataDxfId="97"/>
    <tableColumn id="13" xr3:uid="{00000000-0010-0000-0000-00000D000000}" name="Modalidad de Selección" dataDxfId="96" dataCellStyle="Millares"/>
    <tableColumn id="14" xr3:uid="{00000000-0010-0000-0000-00000E000000}" name="Meta Proyecto de Inversión" dataDxfId="95" dataCellStyle="Normal 2"/>
    <tableColumn id="15" xr3:uid="{00000000-0010-0000-0000-00000F000000}" name="Bogotá camina segura" dataDxfId="94" dataCellStyle="Normal 2">
      <calculatedColumnFormula>IFERROR(VLOOKUP(C12,TD!$B$33:$F$37,2,0)," ")</calculatedColumnFormula>
    </tableColumn>
    <tableColumn id="16" xr3:uid="{00000000-0010-0000-0000-000010000000}" name="Sector_Programa MGA" dataDxfId="93" dataCellStyle="Normal 2">
      <calculatedColumnFormula>IFERROR(VLOOKUP(C12,TD!$B$33:$F$37,3,0)," ")</calculatedColumnFormula>
    </tableColumn>
    <tableColumn id="17" xr3:uid="{00000000-0010-0000-0000-000011000000}" name="BPIN (AÑO+COD_PROYECTO)" dataDxfId="92" dataCellStyle="Normal 2">
      <calculatedColumnFormula>IFERROR(VLOOKUP(C12,TD!$B$33:$F$37,4,0)," ")</calculatedColumnFormula>
    </tableColumn>
    <tableColumn id="18" xr3:uid="{00000000-0010-0000-0000-000012000000}" name="Producto PMR" dataDxfId="91" dataCellStyle="Normal 2"/>
    <tableColumn id="19" xr3:uid="{00000000-0010-0000-0000-000013000000}" name="Descripción Producto PMR" dataDxfId="90" dataCellStyle="Normal 2"/>
    <tableColumn id="20" xr3:uid="{00000000-0010-0000-0000-000014000000}" name="PMR conca" dataDxfId="89" dataCellStyle="Normal 2">
      <calculatedColumnFormula>CONCATENATE(S12,"-",T12)</calculatedColumnFormula>
    </tableColumn>
    <tableColumn id="21" xr3:uid="{00000000-0010-0000-0000-000015000000}" name="Producto MGA" dataDxfId="88" dataCellStyle="Normal 2"/>
    <tableColumn id="22" xr3:uid="{00000000-0010-0000-0000-000016000000}" name="Descripción Producto MGA" dataDxfId="87" dataCellStyle="Normal 2"/>
    <tableColumn id="23" xr3:uid="{00000000-0010-0000-0000-000017000000}" name="concatenarMGA" dataDxfId="86" dataCellStyle="Normal 2">
      <calculatedColumnFormula>CONCATENATE(V12,"_",W12)</calculatedColumnFormula>
    </tableColumn>
    <tableColumn id="24" xr3:uid="{00000000-0010-0000-0000-000018000000}" name="PM MGA conca" dataDxfId="85" dataCellStyle="Normal 2">
      <calculatedColumnFormula>CONCATENATE(U12," ",X12)</calculatedColumnFormula>
    </tableColumn>
    <tableColumn id="25" xr3:uid="{00000000-0010-0000-0000-000019000000}" name="Código de proyecto de inversión, asociado a productos PMR y MGA" dataDxfId="84" dataCellStyle="Normal 2">
      <calculatedColumnFormula>CONCATENATE(P12,Q12,R12,S12,V12)</calculatedColumnFormula>
    </tableColumn>
    <tableColumn id="26" xr3:uid="{00000000-0010-0000-0000-00001A000000}" name="codigo PEP" dataDxfId="83" dataCellStyle="Normal 2">
      <calculatedColumnFormula>IFERROR(VLOOKUP(Y12,TD!$K$47:$L$65,2,0)," ")</calculatedColumnFormula>
    </tableColumn>
    <tableColumn id="27" xr3:uid="{00000000-0010-0000-0000-00001B000000}" name="POSPRE" dataDxfId="82" dataCellStyle="Millares"/>
    <tableColumn id="28" xr3:uid="{00000000-0010-0000-0000-00001C000000}" name="Si Secop / No Secop" dataDxfId="81"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111"/>
  <sheetViews>
    <sheetView showGridLines="0" tabSelected="1" topLeftCell="A3" zoomScale="70" zoomScaleNormal="70" zoomScaleSheetLayoutView="55" workbookViewId="0">
      <selection activeCell="F13" sqref="F13"/>
    </sheetView>
  </sheetViews>
  <sheetFormatPr baseColWidth="10" defaultColWidth="17.453125" defaultRowHeight="14" x14ac:dyDescent="0.35"/>
  <cols>
    <col min="1" max="1" width="9.81640625" style="70" customWidth="1"/>
    <col min="2" max="2" width="17.453125" style="97" customWidth="1"/>
    <col min="3" max="3" width="29.7265625" style="69" customWidth="1"/>
    <col min="4" max="5" width="17.453125" style="70"/>
    <col min="6" max="6" width="60.36328125" style="70" customWidth="1"/>
    <col min="7" max="7" width="21.54296875" style="70" customWidth="1"/>
    <col min="8" max="8" width="20.26953125" style="70" customWidth="1"/>
    <col min="9" max="10" width="12.81640625" style="70" customWidth="1"/>
    <col min="11" max="11" width="12.81640625" style="71" customWidth="1"/>
    <col min="12" max="12" width="22.36328125" style="98" bestFit="1" customWidth="1"/>
    <col min="13" max="13" width="28.08984375" style="97" customWidth="1"/>
    <col min="14" max="14" width="22.90625" style="70" customWidth="1"/>
    <col min="15" max="15" width="49.54296875" style="98" customWidth="1"/>
    <col min="16" max="16" width="21.81640625" style="70" customWidth="1"/>
    <col min="17" max="17" width="22.6328125" style="73" customWidth="1"/>
    <col min="18" max="18" width="20.1796875" style="73" customWidth="1"/>
    <col min="19" max="19" width="21" style="73" bestFit="1" customWidth="1"/>
    <col min="20" max="20" width="43.7265625" style="70" customWidth="1"/>
    <col min="21" max="21" width="46.6328125" style="73" hidden="1" customWidth="1"/>
    <col min="22" max="22" width="20.7265625" style="107" customWidth="1"/>
    <col min="23" max="23" width="34.1796875" style="70" customWidth="1"/>
    <col min="24" max="24" width="28.81640625" style="73" hidden="1" customWidth="1"/>
    <col min="25" max="25" width="54.7265625" style="107" hidden="1" customWidth="1"/>
    <col min="26" max="26" width="38.36328125" style="107" bestFit="1" customWidth="1"/>
    <col min="27" max="27" width="32.453125" style="73" customWidth="1"/>
    <col min="28" max="28" width="40.1796875" style="73" customWidth="1"/>
    <col min="29" max="29" width="27.1796875" style="98" customWidth="1"/>
    <col min="30" max="16384" width="17.453125" style="70"/>
  </cols>
  <sheetData>
    <row r="1" spans="1:29" x14ac:dyDescent="0.35">
      <c r="B1" s="68"/>
      <c r="L1" s="72"/>
      <c r="M1" s="68"/>
      <c r="O1" s="72"/>
      <c r="AC1" s="72"/>
    </row>
    <row r="2" spans="1:29" s="28" customFormat="1" x14ac:dyDescent="0.35">
      <c r="B2" s="382"/>
      <c r="C2" s="382"/>
      <c r="D2" s="27"/>
      <c r="F2" s="27"/>
      <c r="G2" s="27"/>
      <c r="H2" s="27"/>
      <c r="I2" s="27"/>
      <c r="J2" s="27"/>
      <c r="K2" s="75"/>
      <c r="L2" s="183"/>
      <c r="M2" s="101"/>
      <c r="N2" s="27"/>
      <c r="O2" s="27"/>
      <c r="P2" s="27"/>
      <c r="Q2" s="29"/>
      <c r="R2" s="29"/>
      <c r="S2" s="29"/>
      <c r="U2" s="30"/>
      <c r="V2" s="108"/>
      <c r="X2" s="30"/>
      <c r="Y2" s="108"/>
      <c r="Z2" s="108"/>
      <c r="AA2" s="30"/>
      <c r="AB2" s="30"/>
      <c r="AC2" s="27"/>
    </row>
    <row r="3" spans="1:29" s="28" customFormat="1" ht="17.5" x14ac:dyDescent="0.35">
      <c r="C3" s="27"/>
      <c r="D3" s="27"/>
      <c r="E3" s="383" t="s">
        <v>66</v>
      </c>
      <c r="F3" s="383"/>
      <c r="G3" s="383"/>
      <c r="H3" s="383"/>
      <c r="I3" s="383"/>
      <c r="J3" s="383"/>
      <c r="K3" s="383"/>
      <c r="L3" s="383"/>
      <c r="M3" s="102"/>
      <c r="N3" s="66" t="s">
        <v>440</v>
      </c>
      <c r="O3" s="31" t="s">
        <v>67</v>
      </c>
      <c r="P3" s="32">
        <v>2025</v>
      </c>
      <c r="Q3" s="30"/>
      <c r="R3" s="106"/>
      <c r="S3" s="29"/>
      <c r="T3"/>
      <c r="U3" s="100"/>
      <c r="V3" s="108"/>
      <c r="X3" s="30"/>
      <c r="Y3" s="108"/>
      <c r="Z3" s="108"/>
      <c r="AA3" s="30"/>
      <c r="AB3" s="30"/>
    </row>
    <row r="4" spans="1:29" s="28" customFormat="1" ht="17.5" x14ac:dyDescent="0.35">
      <c r="C4" s="27"/>
      <c r="D4" s="27"/>
      <c r="E4" s="383" t="s">
        <v>455</v>
      </c>
      <c r="F4" s="383"/>
      <c r="G4" s="383"/>
      <c r="H4" s="383"/>
      <c r="I4" s="383"/>
      <c r="J4" s="383"/>
      <c r="K4" s="383"/>
      <c r="L4" s="383"/>
      <c r="M4" s="381" t="s">
        <v>299</v>
      </c>
      <c r="N4" s="381"/>
      <c r="O4" s="381"/>
      <c r="P4" s="96">
        <f>IFERROR(SUMIF($C$12:$C$1318,"8126-Fortalecimiento institucional de la UAECOB para un gobierno confiable Bogotá D.C.",$L$12:$L$1543),0)</f>
        <v>20798398450</v>
      </c>
      <c r="Q4" s="30"/>
      <c r="R4" s="74" t="s">
        <v>302</v>
      </c>
      <c r="S4" s="95">
        <f>IFERROR(SUMIF($C$12:$C$1111,"131- Funcionamiento",$L$12:$L$1111),0)</f>
        <v>21532451492</v>
      </c>
      <c r="T4" s="195">
        <v>20798398450</v>
      </c>
      <c r="U4" s="100"/>
      <c r="V4" s="128">
        <f>P4-T4</f>
        <v>0</v>
      </c>
      <c r="X4" s="30"/>
      <c r="Y4" s="108"/>
      <c r="Z4" s="108"/>
      <c r="AA4" s="30"/>
      <c r="AB4" s="30"/>
    </row>
    <row r="5" spans="1:29" s="28" customFormat="1" ht="17.5" x14ac:dyDescent="0.35">
      <c r="A5" s="28" t="s">
        <v>893</v>
      </c>
      <c r="B5" s="34"/>
      <c r="C5" s="35"/>
      <c r="D5" s="35"/>
      <c r="E5" s="383" t="s">
        <v>1396</v>
      </c>
      <c r="F5" s="383"/>
      <c r="G5" s="383"/>
      <c r="H5" s="383"/>
      <c r="I5" s="383"/>
      <c r="J5" s="383"/>
      <c r="K5" s="383"/>
      <c r="L5" s="383"/>
      <c r="M5" s="381" t="s">
        <v>300</v>
      </c>
      <c r="N5" s="381"/>
      <c r="O5" s="381"/>
      <c r="P5" s="96">
        <f>IFERROR(SUMIF($C$12:$C$2038,"8173-Modernización de las capacidades del Cuerpo Oficial de Bomberos Bogotá D.C.",$L$12:$L$2038),0)</f>
        <v>47329028550</v>
      </c>
      <c r="Q5" s="196"/>
      <c r="R5" s="197"/>
      <c r="S5" s="33"/>
      <c r="T5" s="195">
        <v>47329028550</v>
      </c>
      <c r="U5" s="100"/>
      <c r="V5" s="128">
        <f>P5-T5</f>
        <v>0</v>
      </c>
      <c r="X5" s="30"/>
      <c r="Y5" s="108"/>
      <c r="Z5" s="108"/>
      <c r="AA5" s="30"/>
      <c r="AB5" s="30"/>
    </row>
    <row r="6" spans="1:29" s="28" customFormat="1" ht="17.5" x14ac:dyDescent="0.35">
      <c r="B6" s="154"/>
      <c r="C6" s="35"/>
      <c r="D6" s="35"/>
      <c r="E6" s="155"/>
      <c r="F6" s="155"/>
      <c r="G6" s="155"/>
      <c r="H6" s="155"/>
      <c r="I6" s="155"/>
      <c r="J6" s="155"/>
      <c r="K6" s="155"/>
      <c r="L6" s="184"/>
      <c r="M6" s="31"/>
      <c r="N6" s="31"/>
      <c r="O6" s="31"/>
      <c r="P6" s="156"/>
      <c r="Q6" s="30"/>
      <c r="R6" s="30"/>
      <c r="S6" s="33"/>
      <c r="T6" s="198"/>
      <c r="U6" s="157"/>
      <c r="V6" s="128"/>
      <c r="X6" s="30"/>
      <c r="Y6" s="108"/>
      <c r="Z6" s="108"/>
      <c r="AA6" s="30"/>
      <c r="AB6" s="30"/>
    </row>
    <row r="7" spans="1:29" s="28" customFormat="1" ht="14.5" x14ac:dyDescent="0.35">
      <c r="B7" s="34"/>
      <c r="C7" s="35"/>
      <c r="D7" s="35"/>
      <c r="E7" s="36"/>
      <c r="F7" s="35"/>
      <c r="G7" s="35"/>
      <c r="H7" s="35"/>
      <c r="I7" s="35"/>
      <c r="J7" s="37"/>
      <c r="K7" s="38"/>
      <c r="L7" s="185"/>
      <c r="M7" s="381" t="s">
        <v>301</v>
      </c>
      <c r="N7" s="381"/>
      <c r="O7" s="381"/>
      <c r="P7" s="35">
        <f>+P4+P5</f>
        <v>68127427000</v>
      </c>
      <c r="Q7" s="30"/>
      <c r="R7" s="74" t="s">
        <v>303</v>
      </c>
      <c r="S7" s="39">
        <f>+S4+P7</f>
        <v>89659878492</v>
      </c>
      <c r="T7" s="100"/>
      <c r="U7" s="100"/>
      <c r="V7" s="108"/>
      <c r="X7" s="30"/>
      <c r="Y7" s="108"/>
      <c r="Z7" s="108"/>
      <c r="AA7" s="30"/>
      <c r="AB7" s="30"/>
    </row>
    <row r="8" spans="1:29" s="28" customFormat="1" x14ac:dyDescent="0.35">
      <c r="B8" s="34"/>
      <c r="C8" s="35"/>
      <c r="D8" s="35"/>
      <c r="E8" s="36"/>
      <c r="F8" s="35"/>
      <c r="G8" s="35"/>
      <c r="H8" s="54"/>
      <c r="I8" s="35"/>
      <c r="J8" s="37"/>
      <c r="K8" s="38"/>
      <c r="L8" s="185"/>
      <c r="M8" s="103"/>
      <c r="O8" s="67" t="s">
        <v>78</v>
      </c>
      <c r="P8" s="99">
        <f ca="1">TODAY()</f>
        <v>46020</v>
      </c>
      <c r="Q8" s="42"/>
      <c r="R8" s="65"/>
      <c r="S8" s="29"/>
      <c r="T8" s="105"/>
      <c r="U8" s="30"/>
      <c r="V8" s="108"/>
      <c r="X8" s="30"/>
      <c r="Y8" s="108"/>
      <c r="Z8" s="108"/>
      <c r="AA8" s="30"/>
      <c r="AB8" s="30"/>
    </row>
    <row r="9" spans="1:29" s="28" customFormat="1" x14ac:dyDescent="0.35">
      <c r="B9" s="34"/>
      <c r="C9" s="35"/>
      <c r="D9" s="35"/>
      <c r="E9" s="36"/>
      <c r="F9" s="35"/>
      <c r="G9" s="35"/>
      <c r="H9" s="54"/>
      <c r="I9" s="35"/>
      <c r="J9" s="37"/>
      <c r="K9" s="38"/>
      <c r="L9" s="185"/>
      <c r="M9" s="103"/>
      <c r="N9" s="105"/>
      <c r="P9" s="40"/>
      <c r="Q9" s="41"/>
      <c r="R9" s="41"/>
      <c r="S9" s="29"/>
      <c r="U9" s="30"/>
      <c r="V9" s="108"/>
      <c r="X9" s="30"/>
      <c r="Y9" s="108"/>
      <c r="Z9" s="108"/>
      <c r="AA9" s="30"/>
      <c r="AB9" s="30"/>
      <c r="AC9" s="35"/>
    </row>
    <row r="10" spans="1:29" s="28" customFormat="1" x14ac:dyDescent="0.35">
      <c r="B10" s="34"/>
      <c r="C10" s="43"/>
      <c r="D10" s="44"/>
      <c r="E10" s="26"/>
      <c r="I10" s="45"/>
      <c r="J10" s="46"/>
      <c r="K10" s="76"/>
      <c r="L10" s="186"/>
      <c r="M10" s="104"/>
      <c r="P10" s="47"/>
      <c r="Q10" s="48"/>
      <c r="R10" s="48"/>
      <c r="S10" s="48"/>
      <c r="T10" s="49"/>
      <c r="U10" s="30"/>
      <c r="V10" s="108"/>
      <c r="X10" s="30"/>
      <c r="Y10" s="108"/>
      <c r="Z10" s="108"/>
      <c r="AA10" s="30"/>
      <c r="AB10" s="30"/>
    </row>
    <row r="11" spans="1:29" s="124" customFormat="1" ht="42" x14ac:dyDescent="0.35">
      <c r="B11" s="113" t="s">
        <v>68</v>
      </c>
      <c r="C11" s="114" t="s">
        <v>296</v>
      </c>
      <c r="D11" s="115" t="s">
        <v>74</v>
      </c>
      <c r="E11" s="116" t="s">
        <v>75</v>
      </c>
      <c r="F11" s="117" t="s">
        <v>69</v>
      </c>
      <c r="G11" s="117" t="s">
        <v>82</v>
      </c>
      <c r="H11" s="116" t="s">
        <v>1</v>
      </c>
      <c r="I11" s="118" t="s">
        <v>72</v>
      </c>
      <c r="J11" s="118" t="s">
        <v>73</v>
      </c>
      <c r="K11" s="119" t="s">
        <v>368</v>
      </c>
      <c r="L11" s="115"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56" x14ac:dyDescent="0.35">
      <c r="B12" s="405">
        <v>20250855</v>
      </c>
      <c r="C12" s="406" t="s">
        <v>209</v>
      </c>
      <c r="D12" s="407" t="s">
        <v>166</v>
      </c>
      <c r="E12" s="408" t="s">
        <v>558</v>
      </c>
      <c r="F12" s="407" t="s">
        <v>1337</v>
      </c>
      <c r="G12" s="407" t="s">
        <v>109</v>
      </c>
      <c r="H12" s="409" t="s">
        <v>1021</v>
      </c>
      <c r="I12" s="410">
        <v>8</v>
      </c>
      <c r="J12" s="410">
        <v>2</v>
      </c>
      <c r="K12" s="411">
        <v>0</v>
      </c>
      <c r="L12" s="412">
        <v>26107270</v>
      </c>
      <c r="M12" s="413" t="s">
        <v>464</v>
      </c>
      <c r="N12" s="412" t="s">
        <v>100</v>
      </c>
      <c r="O12" s="408" t="s">
        <v>1025</v>
      </c>
      <c r="P12" s="414" t="str">
        <f>IFERROR(VLOOKUP(C12,TD!$B$33:$F$37,2,0)," ")</f>
        <v>O230117</v>
      </c>
      <c r="Q12" s="414" t="str">
        <f>IFERROR(VLOOKUP(C12,TD!$B$33:$F$37,3,0)," ")</f>
        <v>4503</v>
      </c>
      <c r="R12" s="414">
        <f>IFERROR(VLOOKUP(C12,TD!$B$33:$F$37,4,0)," ")</f>
        <v>20240255</v>
      </c>
      <c r="S12" s="408" t="s">
        <v>185</v>
      </c>
      <c r="T12" s="414" t="str">
        <f>IFERROR(VLOOKUP(S12,TD!$J$34:$K$44,2,0)," ")</f>
        <v>Infraestructura física, mantenimiento y dotación (Sedes construidas, mantenidas reforzadas)</v>
      </c>
      <c r="U12" s="249" t="str">
        <f>CONCATENATE(S12,"-",T12)</f>
        <v>08-Infraestructura física, mantenimiento y dotación (Sedes construidas, mantenidas reforzadas)</v>
      </c>
      <c r="V12" s="408" t="s">
        <v>236</v>
      </c>
      <c r="W12" s="414" t="str">
        <f>IFERROR(VLOOKUP(V12,TD!$N$34:$O$46,2,0)," ")</f>
        <v>Estaciones de bomberos adecuadas</v>
      </c>
      <c r="X12" s="249" t="str">
        <f>CONCATENATE(V12,"_",W12)</f>
        <v>014_Estaciones de bomberos adecuadas</v>
      </c>
      <c r="Y12" s="249" t="str">
        <f>CONCATENATE(U12," ",X12)</f>
        <v>08-Infraestructura física, mantenimiento y dotación (Sedes construidas, mantenidas reforzadas) 014_Estaciones de bomberos adecuadas</v>
      </c>
      <c r="Z12" s="414" t="str">
        <f>CONCATENATE(P12,Q12,R12,S12,V12)</f>
        <v>O23011745032024025508014</v>
      </c>
      <c r="AA12" s="414" t="str">
        <f>IFERROR(VLOOKUP(Y12,TD!$K$47:$L$65,2,0)," ")</f>
        <v>PM/0131/0108/45030140255</v>
      </c>
      <c r="AB12" s="412" t="s">
        <v>1026</v>
      </c>
      <c r="AC12" s="415" t="s">
        <v>204</v>
      </c>
    </row>
    <row r="13" spans="1:29" s="28" customFormat="1" ht="56" x14ac:dyDescent="0.35">
      <c r="B13" s="405">
        <v>20251178</v>
      </c>
      <c r="C13" s="406" t="s">
        <v>208</v>
      </c>
      <c r="D13" s="407" t="s">
        <v>166</v>
      </c>
      <c r="E13" s="408" t="s">
        <v>558</v>
      </c>
      <c r="F13" s="407" t="s">
        <v>1333</v>
      </c>
      <c r="G13" s="407" t="s">
        <v>96</v>
      </c>
      <c r="H13" s="409" t="s">
        <v>1334</v>
      </c>
      <c r="I13" s="410">
        <v>11</v>
      </c>
      <c r="J13" s="410">
        <v>1</v>
      </c>
      <c r="K13" s="411">
        <v>0</v>
      </c>
      <c r="L13" s="412">
        <v>63277320</v>
      </c>
      <c r="M13" s="413" t="s">
        <v>464</v>
      </c>
      <c r="N13" s="412" t="s">
        <v>123</v>
      </c>
      <c r="O13" s="408" t="s">
        <v>218</v>
      </c>
      <c r="P13" s="414" t="str">
        <f>IFERROR(VLOOKUP(C13,TD!$B$33:$F$37,2,0)," ")</f>
        <v>O230117</v>
      </c>
      <c r="Q13" s="414" t="str">
        <f>IFERROR(VLOOKUP(C13,TD!$B$33:$F$37,3,0)," ")</f>
        <v>4599</v>
      </c>
      <c r="R13" s="414">
        <f>IFERROR(VLOOKUP(C13,TD!$B$33:$F$37,4,0)," ")</f>
        <v>20240207</v>
      </c>
      <c r="S13" s="408" t="s">
        <v>185</v>
      </c>
      <c r="T13" s="414" t="str">
        <f>IFERROR(VLOOKUP(S13,TD!$J$34:$K$44,2,0)," ")</f>
        <v>Infraestructura física, mantenimiento y dotación (Sedes construidas, mantenidas reforzadas)</v>
      </c>
      <c r="U13" s="249" t="str">
        <f>CONCATENATE(S13,"-",T13)</f>
        <v>08-Infraestructura física, mantenimiento y dotación (Sedes construidas, mantenidas reforzadas)</v>
      </c>
      <c r="V13" s="408" t="s">
        <v>238</v>
      </c>
      <c r="W13" s="414" t="str">
        <f>IFERROR(VLOOKUP(V13,TD!$N$34:$O$46,2,0)," ")</f>
        <v>Sedes mantenidas</v>
      </c>
      <c r="X13" s="249" t="str">
        <f>CONCATENATE(V13,"_",W13)</f>
        <v>016_Sedes mantenidas</v>
      </c>
      <c r="Y13" s="249" t="str">
        <f>CONCATENATE(U13," ",X13)</f>
        <v>08-Infraestructura física, mantenimiento y dotación (Sedes construidas, mantenidas reforzadas) 016_Sedes mantenidas</v>
      </c>
      <c r="Z13" s="414" t="str">
        <f>CONCATENATE(P13,Q13,R13,S13,V13)</f>
        <v>O23011745992024020708016</v>
      </c>
      <c r="AA13" s="414" t="str">
        <f>IFERROR(VLOOKUP(Y13,TD!$K$47:$L$65,2,0)," ")</f>
        <v>PM/0131/0108/45990160207</v>
      </c>
      <c r="AB13" s="412" t="s">
        <v>143</v>
      </c>
      <c r="AC13" s="415" t="s">
        <v>205</v>
      </c>
    </row>
    <row r="14" spans="1:29" s="28" customFormat="1" ht="56" x14ac:dyDescent="0.35">
      <c r="B14" s="405">
        <v>20251198</v>
      </c>
      <c r="C14" s="406" t="s">
        <v>209</v>
      </c>
      <c r="D14" s="407" t="s">
        <v>168</v>
      </c>
      <c r="E14" s="408" t="s">
        <v>600</v>
      </c>
      <c r="F14" s="407" t="s">
        <v>1375</v>
      </c>
      <c r="G14" s="407" t="s">
        <v>119</v>
      </c>
      <c r="H14" s="409" t="s">
        <v>986</v>
      </c>
      <c r="I14" s="410">
        <v>12</v>
      </c>
      <c r="J14" s="410">
        <v>3</v>
      </c>
      <c r="K14" s="411">
        <v>0</v>
      </c>
      <c r="L14" s="412">
        <f>49919715+28870330</f>
        <v>78790045</v>
      </c>
      <c r="M14" s="413" t="s">
        <v>464</v>
      </c>
      <c r="N14" s="412" t="s">
        <v>95</v>
      </c>
      <c r="O14" s="408" t="s">
        <v>224</v>
      </c>
      <c r="P14" s="414" t="str">
        <f>IFERROR(VLOOKUP(C14,TD!$B$33:$F$37,2,0)," ")</f>
        <v>O230117</v>
      </c>
      <c r="Q14" s="414" t="str">
        <f>IFERROR(VLOOKUP(C14,TD!$B$33:$F$37,3,0)," ")</f>
        <v>4503</v>
      </c>
      <c r="R14" s="414">
        <f>IFERROR(VLOOKUP(C14,TD!$B$33:$F$37,4,0)," ")</f>
        <v>20240255</v>
      </c>
      <c r="S14" s="408" t="s">
        <v>191</v>
      </c>
      <c r="T14" s="414" t="str">
        <f>IFERROR(VLOOKUP(S14,TD!$J$34:$K$44,2,0)," ")</f>
        <v>Servicio de apoyo   logístico  en eventos operativos y/o emergencias.</v>
      </c>
      <c r="U14" s="461" t="str">
        <f>CONCATENATE(S14,"-",T14)</f>
        <v>12-Servicio de apoyo   logístico  en eventos operativos y/o emergencias.</v>
      </c>
      <c r="V14" s="408" t="s">
        <v>232</v>
      </c>
      <c r="W14" s="414" t="str">
        <f>IFERROR(VLOOKUP(V14,TD!$N$34:$O$46,2,0)," ")</f>
        <v>Servicio de atención a emergencias y desastres</v>
      </c>
      <c r="X14" s="461" t="str">
        <f>CONCATENATE(V14,"_",W14)</f>
        <v>004_Servicio de atención a emergencias y desastres</v>
      </c>
      <c r="Y14" s="461" t="str">
        <f>CONCATENATE(U14," ",X14)</f>
        <v>12-Servicio de apoyo   logístico  en eventos operativos y/o emergencias. 004_Servicio de atención a emergencias y desastres</v>
      </c>
      <c r="Z14" s="414" t="str">
        <f>CONCATENATE(P14,Q14,R14,S14,V14)</f>
        <v>O23011745032024025512004</v>
      </c>
      <c r="AA14" s="414" t="str">
        <f>IFERROR(VLOOKUP(Y14,TD!$K$47:$L$65,2,0)," ")</f>
        <v>PM/0131/0112/45030040255</v>
      </c>
      <c r="AB14" s="412" t="s">
        <v>110</v>
      </c>
      <c r="AC14" s="415" t="s">
        <v>205</v>
      </c>
    </row>
    <row r="15" spans="1:29" s="28" customFormat="1" ht="56" x14ac:dyDescent="0.35">
      <c r="B15" s="419">
        <v>20251219</v>
      </c>
      <c r="C15" s="425" t="s">
        <v>208</v>
      </c>
      <c r="D15" s="428" t="s">
        <v>166</v>
      </c>
      <c r="E15" s="430" t="s">
        <v>558</v>
      </c>
      <c r="F15" s="428" t="s">
        <v>1389</v>
      </c>
      <c r="G15" s="428" t="s">
        <v>155</v>
      </c>
      <c r="H15" s="436" t="s">
        <v>606</v>
      </c>
      <c r="I15" s="440">
        <v>12</v>
      </c>
      <c r="J15" s="440">
        <v>0</v>
      </c>
      <c r="K15" s="445">
        <v>20</v>
      </c>
      <c r="L15" s="449">
        <f>4915321+96989+4151251</f>
        <v>9163561</v>
      </c>
      <c r="M15" s="416" t="s">
        <v>464</v>
      </c>
      <c r="N15" s="449" t="s">
        <v>607</v>
      </c>
      <c r="O15" s="430" t="s">
        <v>219</v>
      </c>
      <c r="P15" s="458" t="str">
        <f>IFERROR(VLOOKUP(C15,TD!$B$33:$F$37,2,0)," ")</f>
        <v>O230117</v>
      </c>
      <c r="Q15" s="458" t="str">
        <f>IFERROR(VLOOKUP(C15,TD!$B$33:$F$37,3,0)," ")</f>
        <v>4599</v>
      </c>
      <c r="R15" s="458">
        <f>IFERROR(VLOOKUP(C15,TD!$B$33:$F$37,4,0)," ")</f>
        <v>20240207</v>
      </c>
      <c r="S15" s="460" t="s">
        <v>185</v>
      </c>
      <c r="T15" s="414" t="str">
        <f>IFERROR(VLOOKUP(S15,TD!$J$34:$K$44,2,0)," ")</f>
        <v>Infraestructura física, mantenimiento y dotación (Sedes construidas, mantenidas reforzadas)</v>
      </c>
      <c r="U15" s="249" t="str">
        <f>CONCATENATE(S15,"-",T15)</f>
        <v>08-Infraestructura física, mantenimiento y dotación (Sedes construidas, mantenidas reforzadas)</v>
      </c>
      <c r="V15" s="460" t="s">
        <v>238</v>
      </c>
      <c r="W15" s="414" t="str">
        <f>IFERROR(VLOOKUP(V15,TD!$N$34:$O$46,2,0)," ")</f>
        <v>Sedes mantenidas</v>
      </c>
      <c r="X15" s="249" t="str">
        <f>CONCATENATE(V15,"_",W15)</f>
        <v>016_Sedes mantenidas</v>
      </c>
      <c r="Y15" s="249" t="str">
        <f>CONCATENATE(U15," ",X15)</f>
        <v>08-Infraestructura física, mantenimiento y dotación (Sedes construidas, mantenidas reforzadas) 016_Sedes mantenidas</v>
      </c>
      <c r="Z15" s="458" t="str">
        <f>CONCATENATE(P15,Q15,R15,S15,V15)</f>
        <v>O23011745992024020708016</v>
      </c>
      <c r="AA15" s="458" t="str">
        <f>IFERROR(VLOOKUP(Y15,TD!$K$47:$L$65,2,0)," ")</f>
        <v>PM/0131/0108/45990160207</v>
      </c>
      <c r="AB15" s="449" t="s">
        <v>138</v>
      </c>
      <c r="AC15" s="466" t="s">
        <v>205</v>
      </c>
    </row>
    <row r="16" spans="1:29" s="28" customFormat="1" ht="56" x14ac:dyDescent="0.35">
      <c r="B16" s="405">
        <v>20251223</v>
      </c>
      <c r="C16" s="406" t="s">
        <v>209</v>
      </c>
      <c r="D16" s="407" t="s">
        <v>168</v>
      </c>
      <c r="E16" s="408" t="s">
        <v>600</v>
      </c>
      <c r="F16" s="407" t="s">
        <v>1375</v>
      </c>
      <c r="G16" s="407" t="s">
        <v>119</v>
      </c>
      <c r="H16" s="409" t="s">
        <v>986</v>
      </c>
      <c r="I16" s="410">
        <v>12</v>
      </c>
      <c r="J16" s="410">
        <v>3</v>
      </c>
      <c r="K16" s="411">
        <v>0</v>
      </c>
      <c r="L16" s="412">
        <v>39429572</v>
      </c>
      <c r="M16" s="413" t="s">
        <v>1287</v>
      </c>
      <c r="N16" s="412" t="s">
        <v>95</v>
      </c>
      <c r="O16" s="408" t="s">
        <v>224</v>
      </c>
      <c r="P16" s="414" t="str">
        <f>IFERROR(VLOOKUP(C16,TD!$B$33:$F$37,2,0)," ")</f>
        <v>O230117</v>
      </c>
      <c r="Q16" s="414" t="str">
        <f>IFERROR(VLOOKUP(C16,TD!$B$33:$F$37,3,0)," ")</f>
        <v>4503</v>
      </c>
      <c r="R16" s="414">
        <f>IFERROR(VLOOKUP(C16,TD!$B$33:$F$37,4,0)," ")</f>
        <v>20240255</v>
      </c>
      <c r="S16" s="408" t="s">
        <v>191</v>
      </c>
      <c r="T16" s="414" t="str">
        <f>IFERROR(VLOOKUP(S16,TD!$J$34:$K$44,2,0)," ")</f>
        <v>Servicio de apoyo   logístico  en eventos operativos y/o emergencias.</v>
      </c>
      <c r="U16" s="462" t="str">
        <f>CONCATENATE(S16,"-",T16)</f>
        <v>12-Servicio de apoyo   logístico  en eventos operativos y/o emergencias.</v>
      </c>
      <c r="V16" s="408" t="s">
        <v>232</v>
      </c>
      <c r="W16" s="414" t="str">
        <f>IFERROR(VLOOKUP(V16,TD!$N$34:$O$46,2,0)," ")</f>
        <v>Servicio de atención a emergencias y desastres</v>
      </c>
      <c r="X16" s="404" t="str">
        <f>CONCATENATE(V16,"_",W16)</f>
        <v>004_Servicio de atención a emergencias y desastres</v>
      </c>
      <c r="Y16" s="404" t="str">
        <f>CONCATENATE(U16," ",X16)</f>
        <v>12-Servicio de apoyo   logístico  en eventos operativos y/o emergencias. 004_Servicio de atención a emergencias y desastres</v>
      </c>
      <c r="Z16" s="414" t="str">
        <f>CONCATENATE(P16,Q16,R16,S16,V16)</f>
        <v>O23011745032024025512004</v>
      </c>
      <c r="AA16" s="414" t="str">
        <f>IFERROR(VLOOKUP(Y16,TD!$K$47:$L$65,2,0)," ")</f>
        <v>PM/0131/0112/45030040255</v>
      </c>
      <c r="AB16" s="412" t="s">
        <v>110</v>
      </c>
      <c r="AC16" s="415" t="s">
        <v>205</v>
      </c>
    </row>
    <row r="17" spans="2:29" s="28" customFormat="1" ht="56" x14ac:dyDescent="0.35">
      <c r="B17" s="77">
        <v>20250001</v>
      </c>
      <c r="C17" s="50" t="s">
        <v>208</v>
      </c>
      <c r="D17" s="246" t="s">
        <v>163</v>
      </c>
      <c r="E17" s="51" t="s">
        <v>350</v>
      </c>
      <c r="F17" s="246" t="s">
        <v>351</v>
      </c>
      <c r="G17" s="246" t="s">
        <v>155</v>
      </c>
      <c r="H17" s="93">
        <v>80111600</v>
      </c>
      <c r="I17" s="247" t="s">
        <v>450</v>
      </c>
      <c r="J17" s="247">
        <v>10</v>
      </c>
      <c r="K17" s="52">
        <v>0</v>
      </c>
      <c r="L17" s="53">
        <f>76650001-1</f>
        <v>76650000</v>
      </c>
      <c r="M17" s="246" t="s">
        <v>464</v>
      </c>
      <c r="N17" s="53" t="s">
        <v>113</v>
      </c>
      <c r="O17" s="51" t="s">
        <v>219</v>
      </c>
      <c r="P17" s="248" t="str">
        <f>IFERROR(VLOOKUP(C17,TD!$B$33:$F$37,2,0)," ")</f>
        <v>O230117</v>
      </c>
      <c r="Q17" s="248" t="str">
        <f>IFERROR(VLOOKUP(C17,TD!$B$33:$F$37,3,0)," ")</f>
        <v>4599</v>
      </c>
      <c r="R17" s="248">
        <f>IFERROR(VLOOKUP(C17,TD!$B$33:$F$37,4,0)," ")</f>
        <v>20240207</v>
      </c>
      <c r="S17" s="51" t="s">
        <v>185</v>
      </c>
      <c r="T17" s="248" t="str">
        <f>IFERROR(VLOOKUP(S17,TD!$J$34:$K$44,2,0)," ")</f>
        <v>Infraestructura física, mantenimiento y dotación (Sedes construidas, mantenidas reforzadas)</v>
      </c>
      <c r="U17" s="249" t="str">
        <f>CONCATENATE(S17,"-",T17)</f>
        <v>08-Infraestructura física, mantenimiento y dotación (Sedes construidas, mantenidas reforzadas)</v>
      </c>
      <c r="V17" s="51" t="s">
        <v>238</v>
      </c>
      <c r="W17" s="248" t="str">
        <f>IFERROR(VLOOKUP(V17,TD!$N$34:$O$46,2,0)," ")</f>
        <v>Sedes mantenidas</v>
      </c>
      <c r="X17" s="249" t="str">
        <f>CONCATENATE(V17,"_",W17)</f>
        <v>016_Sedes mantenidas</v>
      </c>
      <c r="Y17" s="249" t="str">
        <f>CONCATENATE(U17," ",X17)</f>
        <v>08-Infraestructura física, mantenimiento y dotación (Sedes construidas, mantenidas reforzadas) 016_Sedes mantenidas</v>
      </c>
      <c r="Z17" s="248" t="str">
        <f>CONCATENATE(P17,Q17,R17,S17,V17)</f>
        <v>O23011745992024020708016</v>
      </c>
      <c r="AA17" s="248" t="str">
        <f>IFERROR(VLOOKUP(Y17,TD!$K$47:$L$65,2,0)," ")</f>
        <v>PM/0131/0108/45990160207</v>
      </c>
      <c r="AB17" s="53" t="s">
        <v>138</v>
      </c>
      <c r="AC17" s="250" t="s">
        <v>204</v>
      </c>
    </row>
    <row r="18" spans="2:29" s="28" customFormat="1" ht="98" x14ac:dyDescent="0.35">
      <c r="B18" s="77">
        <v>20250002</v>
      </c>
      <c r="C18" s="50" t="s">
        <v>208</v>
      </c>
      <c r="D18" s="246" t="s">
        <v>163</v>
      </c>
      <c r="E18" s="51" t="s">
        <v>350</v>
      </c>
      <c r="F18" s="246" t="s">
        <v>352</v>
      </c>
      <c r="G18" s="246" t="s">
        <v>155</v>
      </c>
      <c r="H18" s="93">
        <v>80111600</v>
      </c>
      <c r="I18" s="247">
        <v>1</v>
      </c>
      <c r="J18" s="247">
        <v>10</v>
      </c>
      <c r="K18" s="52">
        <v>0</v>
      </c>
      <c r="L18" s="53">
        <f>76650001-1</f>
        <v>76650000</v>
      </c>
      <c r="M18" s="246" t="s">
        <v>464</v>
      </c>
      <c r="N18" s="53" t="s">
        <v>113</v>
      </c>
      <c r="O18" s="51" t="s">
        <v>219</v>
      </c>
      <c r="P18" s="248" t="str">
        <f>IFERROR(VLOOKUP(C18,TD!$B$33:$F$37,2,0)," ")</f>
        <v>O230117</v>
      </c>
      <c r="Q18" s="248" t="str">
        <f>IFERROR(VLOOKUP(C18,TD!$B$33:$F$37,3,0)," ")</f>
        <v>4599</v>
      </c>
      <c r="R18" s="248">
        <f>IFERROR(VLOOKUP(C18,TD!$B$33:$F$37,4,0)," ")</f>
        <v>20240207</v>
      </c>
      <c r="S18" s="51" t="s">
        <v>185</v>
      </c>
      <c r="T18" s="248" t="str">
        <f>IFERROR(VLOOKUP(S18,TD!$J$34:$K$44,2,0)," ")</f>
        <v>Infraestructura física, mantenimiento y dotación (Sedes construidas, mantenidas reforzadas)</v>
      </c>
      <c r="U18" s="249" t="str">
        <f>CONCATENATE(S18,"-",T18)</f>
        <v>08-Infraestructura física, mantenimiento y dotación (Sedes construidas, mantenidas reforzadas)</v>
      </c>
      <c r="V18" s="51" t="s">
        <v>238</v>
      </c>
      <c r="W18" s="248" t="str">
        <f>IFERROR(VLOOKUP(V18,TD!$N$34:$O$46,2,0)," ")</f>
        <v>Sedes mantenidas</v>
      </c>
      <c r="X18" s="249" t="str">
        <f>CONCATENATE(V18,"_",W18)</f>
        <v>016_Sedes mantenidas</v>
      </c>
      <c r="Y18" s="249" t="str">
        <f>CONCATENATE(U18," ",X18)</f>
        <v>08-Infraestructura física, mantenimiento y dotación (Sedes construidas, mantenidas reforzadas) 016_Sedes mantenidas</v>
      </c>
      <c r="Z18" s="248" t="str">
        <f>CONCATENATE(P18,Q18,R18,S18,V18)</f>
        <v>O23011745992024020708016</v>
      </c>
      <c r="AA18" s="248" t="str">
        <f>IFERROR(VLOOKUP(Y18,TD!$K$47:$L$65,2,0)," ")</f>
        <v>PM/0131/0108/45990160207</v>
      </c>
      <c r="AB18" s="53" t="s">
        <v>138</v>
      </c>
      <c r="AC18" s="250" t="s">
        <v>204</v>
      </c>
    </row>
    <row r="19" spans="2:29" s="28" customFormat="1" ht="56" x14ac:dyDescent="0.35">
      <c r="B19" s="77">
        <v>20250003</v>
      </c>
      <c r="C19" s="50" t="s">
        <v>208</v>
      </c>
      <c r="D19" s="246" t="s">
        <v>163</v>
      </c>
      <c r="E19" s="51" t="s">
        <v>350</v>
      </c>
      <c r="F19" s="246" t="s">
        <v>353</v>
      </c>
      <c r="G19" s="246" t="s">
        <v>155</v>
      </c>
      <c r="H19" s="93">
        <v>80111600</v>
      </c>
      <c r="I19" s="247">
        <v>2</v>
      </c>
      <c r="J19" s="247">
        <v>7</v>
      </c>
      <c r="K19" s="52">
        <v>11</v>
      </c>
      <c r="L19" s="53">
        <f>56674097-208597</f>
        <v>56465500</v>
      </c>
      <c r="M19" s="246" t="s">
        <v>464</v>
      </c>
      <c r="N19" s="53" t="s">
        <v>113</v>
      </c>
      <c r="O19" s="51" t="s">
        <v>219</v>
      </c>
      <c r="P19" s="248" t="str">
        <f>IFERROR(VLOOKUP(C19,TD!$B$33:$F$37,2,0)," ")</f>
        <v>O230117</v>
      </c>
      <c r="Q19" s="248" t="str">
        <f>IFERROR(VLOOKUP(C19,TD!$B$33:$F$37,3,0)," ")</f>
        <v>4599</v>
      </c>
      <c r="R19" s="248">
        <f>IFERROR(VLOOKUP(C19,TD!$B$33:$F$37,4,0)," ")</f>
        <v>20240207</v>
      </c>
      <c r="S19" s="51" t="s">
        <v>185</v>
      </c>
      <c r="T19" s="248" t="str">
        <f>IFERROR(VLOOKUP(S19,TD!$J$34:$K$44,2,0)," ")</f>
        <v>Infraestructura física, mantenimiento y dotación (Sedes construidas, mantenidas reforzadas)</v>
      </c>
      <c r="U19" s="249" t="str">
        <f>CONCATENATE(S19,"-",T19)</f>
        <v>08-Infraestructura física, mantenimiento y dotación (Sedes construidas, mantenidas reforzadas)</v>
      </c>
      <c r="V19" s="51" t="s">
        <v>238</v>
      </c>
      <c r="W19" s="248" t="str">
        <f>IFERROR(VLOOKUP(V19,TD!$N$34:$O$46,2,0)," ")</f>
        <v>Sedes mantenidas</v>
      </c>
      <c r="X19" s="249" t="str">
        <f>CONCATENATE(V19,"_",W19)</f>
        <v>016_Sedes mantenidas</v>
      </c>
      <c r="Y19" s="249" t="str">
        <f>CONCATENATE(U19," ",X19)</f>
        <v>08-Infraestructura física, mantenimiento y dotación (Sedes construidas, mantenidas reforzadas) 016_Sedes mantenidas</v>
      </c>
      <c r="Z19" s="248" t="str">
        <f>CONCATENATE(P19,Q19,R19,S19,V19)</f>
        <v>O23011745992024020708016</v>
      </c>
      <c r="AA19" s="248" t="str">
        <f>IFERROR(VLOOKUP(Y19,TD!$K$47:$L$65,2,0)," ")</f>
        <v>PM/0131/0108/45990160207</v>
      </c>
      <c r="AB19" s="53" t="s">
        <v>138</v>
      </c>
      <c r="AC19" s="250" t="s">
        <v>204</v>
      </c>
    </row>
    <row r="20" spans="2:29" s="28" customFormat="1" ht="56" x14ac:dyDescent="0.35">
      <c r="B20" s="77">
        <v>20250004</v>
      </c>
      <c r="C20" s="50" t="s">
        <v>208</v>
      </c>
      <c r="D20" s="246" t="s">
        <v>163</v>
      </c>
      <c r="E20" s="51" t="s">
        <v>350</v>
      </c>
      <c r="F20" s="246" t="s">
        <v>353</v>
      </c>
      <c r="G20" s="246" t="s">
        <v>155</v>
      </c>
      <c r="H20" s="93">
        <v>80111600</v>
      </c>
      <c r="I20" s="247">
        <v>1</v>
      </c>
      <c r="J20" s="247">
        <v>10</v>
      </c>
      <c r="K20" s="52">
        <v>0</v>
      </c>
      <c r="L20" s="53">
        <f>46285827-7</f>
        <v>46285820</v>
      </c>
      <c r="M20" s="246" t="s">
        <v>464</v>
      </c>
      <c r="N20" s="53" t="s">
        <v>113</v>
      </c>
      <c r="O20" s="51" t="s">
        <v>219</v>
      </c>
      <c r="P20" s="248" t="str">
        <f>IFERROR(VLOOKUP(C20,TD!$B$33:$F$37,2,0)," ")</f>
        <v>O230117</v>
      </c>
      <c r="Q20" s="248" t="str">
        <f>IFERROR(VLOOKUP(C20,TD!$B$33:$F$37,3,0)," ")</f>
        <v>4599</v>
      </c>
      <c r="R20" s="248">
        <f>IFERROR(VLOOKUP(C20,TD!$B$33:$F$37,4,0)," ")</f>
        <v>20240207</v>
      </c>
      <c r="S20" s="51" t="s">
        <v>185</v>
      </c>
      <c r="T20" s="248" t="str">
        <f>IFERROR(VLOOKUP(S20,TD!$J$34:$K$44,2,0)," ")</f>
        <v>Infraestructura física, mantenimiento y dotación (Sedes construidas, mantenidas reforzadas)</v>
      </c>
      <c r="U20" s="249" t="str">
        <f>CONCATENATE(S20,"-",T20)</f>
        <v>08-Infraestructura física, mantenimiento y dotación (Sedes construidas, mantenidas reforzadas)</v>
      </c>
      <c r="V20" s="51" t="s">
        <v>238</v>
      </c>
      <c r="W20" s="248" t="str">
        <f>IFERROR(VLOOKUP(V20,TD!$N$34:$O$46,2,0)," ")</f>
        <v>Sedes mantenidas</v>
      </c>
      <c r="X20" s="249" t="str">
        <f>CONCATENATE(V20,"_",W20)</f>
        <v>016_Sedes mantenidas</v>
      </c>
      <c r="Y20" s="249" t="str">
        <f>CONCATENATE(U20," ",X20)</f>
        <v>08-Infraestructura física, mantenimiento y dotación (Sedes construidas, mantenidas reforzadas) 016_Sedes mantenidas</v>
      </c>
      <c r="Z20" s="248" t="str">
        <f>CONCATENATE(P20,Q20,R20,S20,V20)</f>
        <v>O23011745992024020708016</v>
      </c>
      <c r="AA20" s="248" t="str">
        <f>IFERROR(VLOOKUP(Y20,TD!$K$47:$L$65,2,0)," ")</f>
        <v>PM/0131/0108/45990160207</v>
      </c>
      <c r="AB20" s="53" t="s">
        <v>138</v>
      </c>
      <c r="AC20" s="250" t="s">
        <v>204</v>
      </c>
    </row>
    <row r="21" spans="2:29" s="28" customFormat="1" ht="56" x14ac:dyDescent="0.35">
      <c r="B21" s="77">
        <v>20250005</v>
      </c>
      <c r="C21" s="50" t="s">
        <v>208</v>
      </c>
      <c r="D21" s="246" t="s">
        <v>163</v>
      </c>
      <c r="E21" s="51" t="s">
        <v>350</v>
      </c>
      <c r="F21" s="246" t="s">
        <v>354</v>
      </c>
      <c r="G21" s="246" t="s">
        <v>156</v>
      </c>
      <c r="H21" s="93">
        <v>80111600</v>
      </c>
      <c r="I21" s="247">
        <v>1</v>
      </c>
      <c r="J21" s="247">
        <v>10</v>
      </c>
      <c r="K21" s="52">
        <v>0</v>
      </c>
      <c r="L21" s="53">
        <f>38240074-4</f>
        <v>38240070</v>
      </c>
      <c r="M21" s="246" t="s">
        <v>464</v>
      </c>
      <c r="N21" s="53" t="s">
        <v>113</v>
      </c>
      <c r="O21" s="51" t="s">
        <v>219</v>
      </c>
      <c r="P21" s="248" t="str">
        <f>IFERROR(VLOOKUP(C21,TD!$B$33:$F$37,2,0)," ")</f>
        <v>O230117</v>
      </c>
      <c r="Q21" s="248" t="str">
        <f>IFERROR(VLOOKUP(C21,TD!$B$33:$F$37,3,0)," ")</f>
        <v>4599</v>
      </c>
      <c r="R21" s="248">
        <f>IFERROR(VLOOKUP(C21,TD!$B$33:$F$37,4,0)," ")</f>
        <v>20240207</v>
      </c>
      <c r="S21" s="51" t="s">
        <v>185</v>
      </c>
      <c r="T21" s="248" t="str">
        <f>IFERROR(VLOOKUP(S21,TD!$J$34:$K$44,2,0)," ")</f>
        <v>Infraestructura física, mantenimiento y dotación (Sedes construidas, mantenidas reforzadas)</v>
      </c>
      <c r="U21" s="249" t="str">
        <f>CONCATENATE(S21,"-",T21)</f>
        <v>08-Infraestructura física, mantenimiento y dotación (Sedes construidas, mantenidas reforzadas)</v>
      </c>
      <c r="V21" s="51" t="s">
        <v>238</v>
      </c>
      <c r="W21" s="248" t="str">
        <f>IFERROR(VLOOKUP(V21,TD!$N$34:$O$46,2,0)," ")</f>
        <v>Sedes mantenidas</v>
      </c>
      <c r="X21" s="249" t="str">
        <f>CONCATENATE(V21,"_",W21)</f>
        <v>016_Sedes mantenidas</v>
      </c>
      <c r="Y21" s="249" t="str">
        <f>CONCATENATE(U21," ",X21)</f>
        <v>08-Infraestructura física, mantenimiento y dotación (Sedes construidas, mantenidas reforzadas) 016_Sedes mantenidas</v>
      </c>
      <c r="Z21" s="248" t="str">
        <f>CONCATENATE(P21,Q21,R21,S21,V21)</f>
        <v>O23011745992024020708016</v>
      </c>
      <c r="AA21" s="248" t="str">
        <f>IFERROR(VLOOKUP(Y21,TD!$K$47:$L$65,2,0)," ")</f>
        <v>PM/0131/0108/45990160207</v>
      </c>
      <c r="AB21" s="53" t="s">
        <v>138</v>
      </c>
      <c r="AC21" s="250" t="s">
        <v>204</v>
      </c>
    </row>
    <row r="22" spans="2:29" s="28" customFormat="1" ht="84" x14ac:dyDescent="0.35">
      <c r="B22" s="77">
        <v>20250006</v>
      </c>
      <c r="C22" s="50" t="s">
        <v>208</v>
      </c>
      <c r="D22" s="246" t="s">
        <v>164</v>
      </c>
      <c r="E22" s="51" t="s">
        <v>389</v>
      </c>
      <c r="F22" s="246" t="s">
        <v>713</v>
      </c>
      <c r="G22" s="246" t="s">
        <v>155</v>
      </c>
      <c r="H22" s="93">
        <v>80111600</v>
      </c>
      <c r="I22" s="247">
        <v>2</v>
      </c>
      <c r="J22" s="247">
        <v>11</v>
      </c>
      <c r="K22" s="52">
        <v>0</v>
      </c>
      <c r="L22" s="53">
        <f>64500000-7500000</f>
        <v>57000000</v>
      </c>
      <c r="M22" s="246" t="s">
        <v>464</v>
      </c>
      <c r="N22" s="53" t="s">
        <v>113</v>
      </c>
      <c r="O22" s="51" t="s">
        <v>219</v>
      </c>
      <c r="P22" s="248" t="str">
        <f>IFERROR(VLOOKUP(C22,TD!$B$33:$F$37,2,0)," ")</f>
        <v>O230117</v>
      </c>
      <c r="Q22" s="248" t="str">
        <f>IFERROR(VLOOKUP(C22,TD!$B$33:$F$37,3,0)," ")</f>
        <v>4599</v>
      </c>
      <c r="R22" s="248">
        <f>IFERROR(VLOOKUP(C22,TD!$B$33:$F$37,4,0)," ")</f>
        <v>20240207</v>
      </c>
      <c r="S22" s="51" t="s">
        <v>185</v>
      </c>
      <c r="T22" s="248" t="str">
        <f>IFERROR(VLOOKUP(S22,TD!$J$34:$K$44,2,0)," ")</f>
        <v>Infraestructura física, mantenimiento y dotación (Sedes construidas, mantenidas reforzadas)</v>
      </c>
      <c r="U22" s="249" t="str">
        <f>CONCATENATE(S22,"-",T22)</f>
        <v>08-Infraestructura física, mantenimiento y dotación (Sedes construidas, mantenidas reforzadas)</v>
      </c>
      <c r="V22" s="51" t="s">
        <v>238</v>
      </c>
      <c r="W22" s="248" t="str">
        <f>IFERROR(VLOOKUP(V22,TD!$N$34:$O$46,2,0)," ")</f>
        <v>Sedes mantenidas</v>
      </c>
      <c r="X22" s="249" t="str">
        <f>CONCATENATE(V22,"_",W22)</f>
        <v>016_Sedes mantenidas</v>
      </c>
      <c r="Y22" s="249" t="str">
        <f>CONCATENATE(U22," ",X22)</f>
        <v>08-Infraestructura física, mantenimiento y dotación (Sedes construidas, mantenidas reforzadas) 016_Sedes mantenidas</v>
      </c>
      <c r="Z22" s="248" t="str">
        <f>CONCATENATE(P22,Q22,R22,S22,V22)</f>
        <v>O23011745992024020708016</v>
      </c>
      <c r="AA22" s="248" t="str">
        <f>IFERROR(VLOOKUP(Y22,TD!$K$47:$L$65,2,0)," ")</f>
        <v>PM/0131/0108/45990160207</v>
      </c>
      <c r="AB22" s="53" t="s">
        <v>120</v>
      </c>
      <c r="AC22" s="250" t="s">
        <v>204</v>
      </c>
    </row>
    <row r="23" spans="2:29" s="28" customFormat="1" ht="84" x14ac:dyDescent="0.35">
      <c r="B23" s="77">
        <v>20250007</v>
      </c>
      <c r="C23" s="50" t="s">
        <v>208</v>
      </c>
      <c r="D23" s="246" t="s">
        <v>164</v>
      </c>
      <c r="E23" s="51" t="s">
        <v>389</v>
      </c>
      <c r="F23" s="246" t="s">
        <v>702</v>
      </c>
      <c r="G23" s="246" t="s">
        <v>155</v>
      </c>
      <c r="H23" s="93">
        <v>80111600</v>
      </c>
      <c r="I23" s="247">
        <v>2</v>
      </c>
      <c r="J23" s="247">
        <v>11</v>
      </c>
      <c r="K23" s="52">
        <v>0</v>
      </c>
      <c r="L23" s="53">
        <f>49000000-7000000</f>
        <v>42000000</v>
      </c>
      <c r="M23" s="246" t="s">
        <v>464</v>
      </c>
      <c r="N23" s="53" t="s">
        <v>113</v>
      </c>
      <c r="O23" s="51" t="s">
        <v>219</v>
      </c>
      <c r="P23" s="248" t="str">
        <f>IFERROR(VLOOKUP(C23,TD!$B$33:$F$37,2,0)," ")</f>
        <v>O230117</v>
      </c>
      <c r="Q23" s="248" t="str">
        <f>IFERROR(VLOOKUP(C23,TD!$B$33:$F$37,3,0)," ")</f>
        <v>4599</v>
      </c>
      <c r="R23" s="248">
        <f>IFERROR(VLOOKUP(C23,TD!$B$33:$F$37,4,0)," ")</f>
        <v>20240207</v>
      </c>
      <c r="S23" s="51" t="s">
        <v>185</v>
      </c>
      <c r="T23" s="248" t="str">
        <f>IFERROR(VLOOKUP(S23,TD!$J$34:$K$44,2,0)," ")</f>
        <v>Infraestructura física, mantenimiento y dotación (Sedes construidas, mantenidas reforzadas)</v>
      </c>
      <c r="U23" s="249" t="str">
        <f>CONCATENATE(S23,"-",T23)</f>
        <v>08-Infraestructura física, mantenimiento y dotación (Sedes construidas, mantenidas reforzadas)</v>
      </c>
      <c r="V23" s="51" t="s">
        <v>238</v>
      </c>
      <c r="W23" s="248" t="str">
        <f>IFERROR(VLOOKUP(V23,TD!$N$34:$O$46,2,0)," ")</f>
        <v>Sedes mantenidas</v>
      </c>
      <c r="X23" s="249" t="str">
        <f>CONCATENATE(V23,"_",W23)</f>
        <v>016_Sedes mantenidas</v>
      </c>
      <c r="Y23" s="249" t="str">
        <f>CONCATENATE(U23," ",X23)</f>
        <v>08-Infraestructura física, mantenimiento y dotación (Sedes construidas, mantenidas reforzadas) 016_Sedes mantenidas</v>
      </c>
      <c r="Z23" s="248" t="str">
        <f>CONCATENATE(P23,Q23,R23,S23,V23)</f>
        <v>O23011745992024020708016</v>
      </c>
      <c r="AA23" s="248" t="str">
        <f>IFERROR(VLOOKUP(Y23,TD!$K$47:$L$65,2,0)," ")</f>
        <v>PM/0131/0108/45990160207</v>
      </c>
      <c r="AB23" s="53" t="s">
        <v>120</v>
      </c>
      <c r="AC23" s="250" t="s">
        <v>204</v>
      </c>
    </row>
    <row r="24" spans="2:29" s="28" customFormat="1" ht="84" x14ac:dyDescent="0.35">
      <c r="B24" s="77">
        <v>20250008</v>
      </c>
      <c r="C24" s="50" t="s">
        <v>208</v>
      </c>
      <c r="D24" s="246" t="s">
        <v>164</v>
      </c>
      <c r="E24" s="51" t="s">
        <v>389</v>
      </c>
      <c r="F24" s="246" t="s">
        <v>872</v>
      </c>
      <c r="G24" s="246" t="s">
        <v>155</v>
      </c>
      <c r="H24" s="93">
        <v>80111600</v>
      </c>
      <c r="I24" s="247">
        <v>2</v>
      </c>
      <c r="J24" s="247">
        <v>11</v>
      </c>
      <c r="K24" s="52">
        <v>0</v>
      </c>
      <c r="L24" s="53">
        <f>88000000-37000000</f>
        <v>51000000</v>
      </c>
      <c r="M24" s="246" t="s">
        <v>464</v>
      </c>
      <c r="N24" s="53" t="s">
        <v>113</v>
      </c>
      <c r="O24" s="51" t="s">
        <v>219</v>
      </c>
      <c r="P24" s="248" t="str">
        <f>IFERROR(VLOOKUP(C24,TD!$B$33:$F$37,2,0)," ")</f>
        <v>O230117</v>
      </c>
      <c r="Q24" s="248" t="str">
        <f>IFERROR(VLOOKUP(C24,TD!$B$33:$F$37,3,0)," ")</f>
        <v>4599</v>
      </c>
      <c r="R24" s="248">
        <f>IFERROR(VLOOKUP(C24,TD!$B$33:$F$37,4,0)," ")</f>
        <v>20240207</v>
      </c>
      <c r="S24" s="51" t="s">
        <v>185</v>
      </c>
      <c r="T24" s="248" t="str">
        <f>IFERROR(VLOOKUP(S24,TD!$J$34:$K$44,2,0)," ")</f>
        <v>Infraestructura física, mantenimiento y dotación (Sedes construidas, mantenidas reforzadas)</v>
      </c>
      <c r="U24" s="249" t="str">
        <f>CONCATENATE(S24,"-",T24)</f>
        <v>08-Infraestructura física, mantenimiento y dotación (Sedes construidas, mantenidas reforzadas)</v>
      </c>
      <c r="V24" s="51" t="s">
        <v>238</v>
      </c>
      <c r="W24" s="248" t="str">
        <f>IFERROR(VLOOKUP(V24,TD!$N$34:$O$46,2,0)," ")</f>
        <v>Sedes mantenidas</v>
      </c>
      <c r="X24" s="249" t="str">
        <f>CONCATENATE(V24,"_",W24)</f>
        <v>016_Sedes mantenidas</v>
      </c>
      <c r="Y24" s="249" t="str">
        <f>CONCATENATE(U24," ",X24)</f>
        <v>08-Infraestructura física, mantenimiento y dotación (Sedes construidas, mantenidas reforzadas) 016_Sedes mantenidas</v>
      </c>
      <c r="Z24" s="248" t="str">
        <f>CONCATENATE(P24,Q24,R24,S24,V24)</f>
        <v>O23011745992024020708016</v>
      </c>
      <c r="AA24" s="248" t="str">
        <f>IFERROR(VLOOKUP(Y24,TD!$K$47:$L$65,2,0)," ")</f>
        <v>PM/0131/0108/45990160207</v>
      </c>
      <c r="AB24" s="53" t="s">
        <v>138</v>
      </c>
      <c r="AC24" s="250" t="s">
        <v>204</v>
      </c>
    </row>
    <row r="25" spans="2:29" s="28" customFormat="1" ht="70" x14ac:dyDescent="0.35">
      <c r="B25" s="77">
        <v>20250009</v>
      </c>
      <c r="C25" s="50" t="s">
        <v>208</v>
      </c>
      <c r="D25" s="246" t="s">
        <v>164</v>
      </c>
      <c r="E25" s="51" t="s">
        <v>389</v>
      </c>
      <c r="F25" s="246" t="s">
        <v>456</v>
      </c>
      <c r="G25" s="246" t="s">
        <v>155</v>
      </c>
      <c r="H25" s="93">
        <v>80111600</v>
      </c>
      <c r="I25" s="247">
        <v>2</v>
      </c>
      <c r="J25" s="247">
        <v>11</v>
      </c>
      <c r="K25" s="52">
        <v>0</v>
      </c>
      <c r="L25" s="53">
        <f>99000000-45000000</f>
        <v>54000000</v>
      </c>
      <c r="M25" s="246" t="s">
        <v>464</v>
      </c>
      <c r="N25" s="53" t="s">
        <v>113</v>
      </c>
      <c r="O25" s="51" t="s">
        <v>219</v>
      </c>
      <c r="P25" s="248" t="str">
        <f>IFERROR(VLOOKUP(C25,TD!$B$33:$F$37,2,0)," ")</f>
        <v>O230117</v>
      </c>
      <c r="Q25" s="248" t="str">
        <f>IFERROR(VLOOKUP(C25,TD!$B$33:$F$37,3,0)," ")</f>
        <v>4599</v>
      </c>
      <c r="R25" s="248">
        <f>IFERROR(VLOOKUP(C25,TD!$B$33:$F$37,4,0)," ")</f>
        <v>20240207</v>
      </c>
      <c r="S25" s="51" t="s">
        <v>185</v>
      </c>
      <c r="T25" s="248" t="str">
        <f>IFERROR(VLOOKUP(S25,TD!$J$34:$K$44,2,0)," ")</f>
        <v>Infraestructura física, mantenimiento y dotación (Sedes construidas, mantenidas reforzadas)</v>
      </c>
      <c r="U25" s="249" t="str">
        <f>CONCATENATE(S25,"-",T25)</f>
        <v>08-Infraestructura física, mantenimiento y dotación (Sedes construidas, mantenidas reforzadas)</v>
      </c>
      <c r="V25" s="51" t="s">
        <v>238</v>
      </c>
      <c r="W25" s="248" t="str">
        <f>IFERROR(VLOOKUP(V25,TD!$N$34:$O$46,2,0)," ")</f>
        <v>Sedes mantenidas</v>
      </c>
      <c r="X25" s="249" t="str">
        <f>CONCATENATE(V25,"_",W25)</f>
        <v>016_Sedes mantenidas</v>
      </c>
      <c r="Y25" s="249" t="str">
        <f>CONCATENATE(U25," ",X25)</f>
        <v>08-Infraestructura física, mantenimiento y dotación (Sedes construidas, mantenidas reforzadas) 016_Sedes mantenidas</v>
      </c>
      <c r="Z25" s="248" t="str">
        <f>CONCATENATE(P25,Q25,R25,S25,V25)</f>
        <v>O23011745992024020708016</v>
      </c>
      <c r="AA25" s="248" t="str">
        <f>IFERROR(VLOOKUP(Y25,TD!$K$47:$L$65,2,0)," ")</f>
        <v>PM/0131/0108/45990160207</v>
      </c>
      <c r="AB25" s="53" t="s">
        <v>138</v>
      </c>
      <c r="AC25" s="250" t="s">
        <v>204</v>
      </c>
    </row>
    <row r="26" spans="2:29" s="28" customFormat="1" ht="84" x14ac:dyDescent="0.35">
      <c r="B26" s="77">
        <v>20250010</v>
      </c>
      <c r="C26" s="50" t="s">
        <v>208</v>
      </c>
      <c r="D26" s="246" t="s">
        <v>164</v>
      </c>
      <c r="E26" s="51" t="s">
        <v>389</v>
      </c>
      <c r="F26" s="246" t="s">
        <v>457</v>
      </c>
      <c r="G26" s="246" t="s">
        <v>155</v>
      </c>
      <c r="H26" s="93">
        <v>80111600</v>
      </c>
      <c r="I26" s="247">
        <v>2</v>
      </c>
      <c r="J26" s="247">
        <v>11</v>
      </c>
      <c r="K26" s="52">
        <v>0</v>
      </c>
      <c r="L26" s="53">
        <f>61300000-9050000-22850000</f>
        <v>29400000</v>
      </c>
      <c r="M26" s="246" t="s">
        <v>464</v>
      </c>
      <c r="N26" s="53" t="s">
        <v>113</v>
      </c>
      <c r="O26" s="51" t="s">
        <v>219</v>
      </c>
      <c r="P26" s="248" t="str">
        <f>IFERROR(VLOOKUP(C26,TD!$B$33:$F$37,2,0)," ")</f>
        <v>O230117</v>
      </c>
      <c r="Q26" s="248" t="str">
        <f>IFERROR(VLOOKUP(C26,TD!$B$33:$F$37,3,0)," ")</f>
        <v>4599</v>
      </c>
      <c r="R26" s="248">
        <f>IFERROR(VLOOKUP(C26,TD!$B$33:$F$37,4,0)," ")</f>
        <v>20240207</v>
      </c>
      <c r="S26" s="51" t="s">
        <v>185</v>
      </c>
      <c r="T26" s="248" t="str">
        <f>IFERROR(VLOOKUP(S26,TD!$J$34:$K$44,2,0)," ")</f>
        <v>Infraestructura física, mantenimiento y dotación (Sedes construidas, mantenidas reforzadas)</v>
      </c>
      <c r="U26" s="249" t="str">
        <f>CONCATENATE(S26,"-",T26)</f>
        <v>08-Infraestructura física, mantenimiento y dotación (Sedes construidas, mantenidas reforzadas)</v>
      </c>
      <c r="V26" s="51" t="s">
        <v>238</v>
      </c>
      <c r="W26" s="248" t="str">
        <f>IFERROR(VLOOKUP(V26,TD!$N$34:$O$46,2,0)," ")</f>
        <v>Sedes mantenidas</v>
      </c>
      <c r="X26" s="249" t="str">
        <f>CONCATENATE(V26,"_",W26)</f>
        <v>016_Sedes mantenidas</v>
      </c>
      <c r="Y26" s="249" t="str">
        <f>CONCATENATE(U26," ",X26)</f>
        <v>08-Infraestructura física, mantenimiento y dotación (Sedes construidas, mantenidas reforzadas) 016_Sedes mantenidas</v>
      </c>
      <c r="Z26" s="248" t="str">
        <f>CONCATENATE(P26,Q26,R26,S26,V26)</f>
        <v>O23011745992024020708016</v>
      </c>
      <c r="AA26" s="248" t="str">
        <f>IFERROR(VLOOKUP(Y26,TD!$K$47:$L$65,2,0)," ")</f>
        <v>PM/0131/0108/45990160207</v>
      </c>
      <c r="AB26" s="53" t="s">
        <v>138</v>
      </c>
      <c r="AC26" s="250" t="s">
        <v>204</v>
      </c>
    </row>
    <row r="27" spans="2:29" s="28" customFormat="1" ht="84" x14ac:dyDescent="0.35">
      <c r="B27" s="127">
        <v>20250011</v>
      </c>
      <c r="C27" s="50" t="s">
        <v>208</v>
      </c>
      <c r="D27" s="246" t="s">
        <v>164</v>
      </c>
      <c r="E27" s="51" t="s">
        <v>389</v>
      </c>
      <c r="F27" s="246" t="s">
        <v>799</v>
      </c>
      <c r="G27" s="246" t="s">
        <v>155</v>
      </c>
      <c r="H27" s="93">
        <v>80111600</v>
      </c>
      <c r="I27" s="247">
        <v>2</v>
      </c>
      <c r="J27" s="247">
        <v>11</v>
      </c>
      <c r="K27" s="52">
        <v>0</v>
      </c>
      <c r="L27" s="53">
        <f>65000000-32000000</f>
        <v>33000000</v>
      </c>
      <c r="M27" s="246" t="s">
        <v>464</v>
      </c>
      <c r="N27" s="53" t="s">
        <v>113</v>
      </c>
      <c r="O27" s="51" t="s">
        <v>219</v>
      </c>
      <c r="P27" s="248" t="str">
        <f>IFERROR(VLOOKUP(C27,TD!$B$33:$F$37,2,0)," ")</f>
        <v>O230117</v>
      </c>
      <c r="Q27" s="248" t="str">
        <f>IFERROR(VLOOKUP(C27,TD!$B$33:$F$37,3,0)," ")</f>
        <v>4599</v>
      </c>
      <c r="R27" s="248">
        <f>IFERROR(VLOOKUP(C27,TD!$B$33:$F$37,4,0)," ")</f>
        <v>20240207</v>
      </c>
      <c r="S27" s="51" t="s">
        <v>185</v>
      </c>
      <c r="T27" s="248" t="str">
        <f>IFERROR(VLOOKUP(S27,TD!$J$34:$K$44,2,0)," ")</f>
        <v>Infraestructura física, mantenimiento y dotación (Sedes construidas, mantenidas reforzadas)</v>
      </c>
      <c r="U27" s="249" t="str">
        <f>CONCATENATE(S27,"-",T27)</f>
        <v>08-Infraestructura física, mantenimiento y dotación (Sedes construidas, mantenidas reforzadas)</v>
      </c>
      <c r="V27" s="51" t="s">
        <v>238</v>
      </c>
      <c r="W27" s="248" t="str">
        <f>IFERROR(VLOOKUP(V27,TD!$N$34:$O$46,2,0)," ")</f>
        <v>Sedes mantenidas</v>
      </c>
      <c r="X27" s="249" t="str">
        <f>CONCATENATE(V27,"_",W27)</f>
        <v>016_Sedes mantenidas</v>
      </c>
      <c r="Y27" s="249" t="str">
        <f>CONCATENATE(U27," ",X27)</f>
        <v>08-Infraestructura física, mantenimiento y dotación (Sedes construidas, mantenidas reforzadas) 016_Sedes mantenidas</v>
      </c>
      <c r="Z27" s="248" t="str">
        <f>CONCATENATE(P27,Q27,R27,S27,V27)</f>
        <v>O23011745992024020708016</v>
      </c>
      <c r="AA27" s="248" t="str">
        <f>IFERROR(VLOOKUP(Y27,TD!$K$47:$L$65,2,0)," ")</f>
        <v>PM/0131/0108/45990160207</v>
      </c>
      <c r="AB27" s="53" t="s">
        <v>120</v>
      </c>
      <c r="AC27" s="250" t="s">
        <v>204</v>
      </c>
    </row>
    <row r="28" spans="2:29" s="28" customFormat="1" ht="84" x14ac:dyDescent="0.35">
      <c r="B28" s="77">
        <v>20250012</v>
      </c>
      <c r="C28" s="50" t="s">
        <v>208</v>
      </c>
      <c r="D28" s="246" t="s">
        <v>164</v>
      </c>
      <c r="E28" s="51" t="s">
        <v>389</v>
      </c>
      <c r="F28" s="246" t="s">
        <v>703</v>
      </c>
      <c r="G28" s="246" t="s">
        <v>155</v>
      </c>
      <c r="H28" s="93">
        <v>80111600</v>
      </c>
      <c r="I28" s="247">
        <v>2</v>
      </c>
      <c r="J28" s="247">
        <v>11</v>
      </c>
      <c r="K28" s="52">
        <v>0</v>
      </c>
      <c r="L28" s="53">
        <f>93500000-11000000-37500000</f>
        <v>45000000</v>
      </c>
      <c r="M28" s="246" t="s">
        <v>464</v>
      </c>
      <c r="N28" s="53" t="s">
        <v>113</v>
      </c>
      <c r="O28" s="51" t="s">
        <v>219</v>
      </c>
      <c r="P28" s="248" t="str">
        <f>IFERROR(VLOOKUP(C28,TD!$B$33:$F$37,2,0)," ")</f>
        <v>O230117</v>
      </c>
      <c r="Q28" s="248" t="str">
        <f>IFERROR(VLOOKUP(C28,TD!$B$33:$F$37,3,0)," ")</f>
        <v>4599</v>
      </c>
      <c r="R28" s="248">
        <f>IFERROR(VLOOKUP(C28,TD!$B$33:$F$37,4,0)," ")</f>
        <v>20240207</v>
      </c>
      <c r="S28" s="51" t="s">
        <v>185</v>
      </c>
      <c r="T28" s="248" t="str">
        <f>IFERROR(VLOOKUP(S28,TD!$J$34:$K$44,2,0)," ")</f>
        <v>Infraestructura física, mantenimiento y dotación (Sedes construidas, mantenidas reforzadas)</v>
      </c>
      <c r="U28" s="249" t="str">
        <f>CONCATENATE(S28,"-",T28)</f>
        <v>08-Infraestructura física, mantenimiento y dotación (Sedes construidas, mantenidas reforzadas)</v>
      </c>
      <c r="V28" s="51" t="s">
        <v>238</v>
      </c>
      <c r="W28" s="248" t="str">
        <f>IFERROR(VLOOKUP(V28,TD!$N$34:$O$46,2,0)," ")</f>
        <v>Sedes mantenidas</v>
      </c>
      <c r="X28" s="249" t="str">
        <f>CONCATENATE(V28,"_",W28)</f>
        <v>016_Sedes mantenidas</v>
      </c>
      <c r="Y28" s="249" t="str">
        <f>CONCATENATE(U28," ",X28)</f>
        <v>08-Infraestructura física, mantenimiento y dotación (Sedes construidas, mantenidas reforzadas) 016_Sedes mantenidas</v>
      </c>
      <c r="Z28" s="248" t="str">
        <f>CONCATENATE(P28,Q28,R28,S28,V28)</f>
        <v>O23011745992024020708016</v>
      </c>
      <c r="AA28" s="248" t="str">
        <f>IFERROR(VLOOKUP(Y28,TD!$K$47:$L$65,2,0)," ")</f>
        <v>PM/0131/0108/45990160207</v>
      </c>
      <c r="AB28" s="53" t="s">
        <v>120</v>
      </c>
      <c r="AC28" s="250" t="s">
        <v>204</v>
      </c>
    </row>
    <row r="29" spans="2:29" s="28" customFormat="1" ht="56" x14ac:dyDescent="0.35">
      <c r="B29" s="77">
        <v>20250013</v>
      </c>
      <c r="C29" s="50" t="s">
        <v>208</v>
      </c>
      <c r="D29" s="246" t="s">
        <v>164</v>
      </c>
      <c r="E29" s="51" t="s">
        <v>389</v>
      </c>
      <c r="F29" s="246" t="s">
        <v>703</v>
      </c>
      <c r="G29" s="246" t="s">
        <v>155</v>
      </c>
      <c r="H29" s="93">
        <v>80111600</v>
      </c>
      <c r="I29" s="247">
        <v>2</v>
      </c>
      <c r="J29" s="247">
        <v>11</v>
      </c>
      <c r="K29" s="52">
        <v>0</v>
      </c>
      <c r="L29" s="53">
        <f>93500000-5500000-37000000</f>
        <v>51000000</v>
      </c>
      <c r="M29" s="246" t="s">
        <v>464</v>
      </c>
      <c r="N29" s="53" t="s">
        <v>113</v>
      </c>
      <c r="O29" s="51" t="s">
        <v>219</v>
      </c>
      <c r="P29" s="248" t="str">
        <f>IFERROR(VLOOKUP(C29,TD!$B$33:$F$37,2,0)," ")</f>
        <v>O230117</v>
      </c>
      <c r="Q29" s="248" t="str">
        <f>IFERROR(VLOOKUP(C29,TD!$B$33:$F$37,3,0)," ")</f>
        <v>4599</v>
      </c>
      <c r="R29" s="248">
        <f>IFERROR(VLOOKUP(C29,TD!$B$33:$F$37,4,0)," ")</f>
        <v>20240207</v>
      </c>
      <c r="S29" s="51" t="s">
        <v>185</v>
      </c>
      <c r="T29" s="248" t="str">
        <f>IFERROR(VLOOKUP(S29,TD!$J$34:$K$44,2,0)," ")</f>
        <v>Infraestructura física, mantenimiento y dotación (Sedes construidas, mantenidas reforzadas)</v>
      </c>
      <c r="U29" s="249" t="str">
        <f>CONCATENATE(S29,"-",T29)</f>
        <v>08-Infraestructura física, mantenimiento y dotación (Sedes construidas, mantenidas reforzadas)</v>
      </c>
      <c r="V29" s="51" t="s">
        <v>238</v>
      </c>
      <c r="W29" s="248" t="str">
        <f>IFERROR(VLOOKUP(V29,TD!$N$34:$O$46,2,0)," ")</f>
        <v>Sedes mantenidas</v>
      </c>
      <c r="X29" s="249" t="str">
        <f>CONCATENATE(V29,"_",W29)</f>
        <v>016_Sedes mantenidas</v>
      </c>
      <c r="Y29" s="249" t="str">
        <f>CONCATENATE(U29," ",X29)</f>
        <v>08-Infraestructura física, mantenimiento y dotación (Sedes construidas, mantenidas reforzadas) 016_Sedes mantenidas</v>
      </c>
      <c r="Z29" s="248" t="str">
        <f>CONCATENATE(P29,Q29,R29,S29,V29)</f>
        <v>O23011745992024020708016</v>
      </c>
      <c r="AA29" s="248" t="str">
        <f>IFERROR(VLOOKUP(Y29,TD!$K$47:$L$65,2,0)," ")</f>
        <v>PM/0131/0108/45990160207</v>
      </c>
      <c r="AB29" s="53" t="s">
        <v>120</v>
      </c>
      <c r="AC29" s="250" t="s">
        <v>204</v>
      </c>
    </row>
    <row r="30" spans="2:29" s="28" customFormat="1" ht="56" x14ac:dyDescent="0.35">
      <c r="B30" s="77">
        <v>20250014</v>
      </c>
      <c r="C30" s="50" t="s">
        <v>208</v>
      </c>
      <c r="D30" s="246" t="s">
        <v>164</v>
      </c>
      <c r="E30" s="51" t="s">
        <v>389</v>
      </c>
      <c r="F30" s="246" t="s">
        <v>703</v>
      </c>
      <c r="G30" s="246" t="s">
        <v>155</v>
      </c>
      <c r="H30" s="93">
        <v>80111600</v>
      </c>
      <c r="I30" s="247">
        <v>2</v>
      </c>
      <c r="J30" s="247">
        <v>11</v>
      </c>
      <c r="K30" s="52">
        <v>0</v>
      </c>
      <c r="L30" s="53">
        <f>63500000-18500000</f>
        <v>45000000</v>
      </c>
      <c r="M30" s="246" t="s">
        <v>464</v>
      </c>
      <c r="N30" s="53" t="s">
        <v>113</v>
      </c>
      <c r="O30" s="51" t="s">
        <v>219</v>
      </c>
      <c r="P30" s="248" t="str">
        <f>IFERROR(VLOOKUP(C30,TD!$B$33:$F$37,2,0)," ")</f>
        <v>O230117</v>
      </c>
      <c r="Q30" s="248" t="str">
        <f>IFERROR(VLOOKUP(C30,TD!$B$33:$F$37,3,0)," ")</f>
        <v>4599</v>
      </c>
      <c r="R30" s="248">
        <f>IFERROR(VLOOKUP(C30,TD!$B$33:$F$37,4,0)," ")</f>
        <v>20240207</v>
      </c>
      <c r="S30" s="51" t="s">
        <v>185</v>
      </c>
      <c r="T30" s="248" t="str">
        <f>IFERROR(VLOOKUP(S30,TD!$J$34:$K$44,2,0)," ")</f>
        <v>Infraestructura física, mantenimiento y dotación (Sedes construidas, mantenidas reforzadas)</v>
      </c>
      <c r="U30" s="249" t="str">
        <f>CONCATENATE(S30,"-",T30)</f>
        <v>08-Infraestructura física, mantenimiento y dotación (Sedes construidas, mantenidas reforzadas)</v>
      </c>
      <c r="V30" s="51" t="s">
        <v>238</v>
      </c>
      <c r="W30" s="248" t="str">
        <f>IFERROR(VLOOKUP(V30,TD!$N$34:$O$46,2,0)," ")</f>
        <v>Sedes mantenidas</v>
      </c>
      <c r="X30" s="249" t="str">
        <f>CONCATENATE(V30,"_",W30)</f>
        <v>016_Sedes mantenidas</v>
      </c>
      <c r="Y30" s="249" t="str">
        <f>CONCATENATE(U30," ",X30)</f>
        <v>08-Infraestructura física, mantenimiento y dotación (Sedes construidas, mantenidas reforzadas) 016_Sedes mantenidas</v>
      </c>
      <c r="Z30" s="248" t="str">
        <f>CONCATENATE(P30,Q30,R30,S30,V30)</f>
        <v>O23011745992024020708016</v>
      </c>
      <c r="AA30" s="248" t="str">
        <f>IFERROR(VLOOKUP(Y30,TD!$K$47:$L$65,2,0)," ")</f>
        <v>PM/0131/0108/45990160207</v>
      </c>
      <c r="AB30" s="53" t="s">
        <v>120</v>
      </c>
      <c r="AC30" s="250" t="s">
        <v>204</v>
      </c>
    </row>
    <row r="31" spans="2:29" s="28" customFormat="1" ht="56" x14ac:dyDescent="0.35">
      <c r="B31" s="77">
        <v>20250015</v>
      </c>
      <c r="C31" s="50" t="s">
        <v>208</v>
      </c>
      <c r="D31" s="246" t="s">
        <v>164</v>
      </c>
      <c r="E31" s="51" t="s">
        <v>389</v>
      </c>
      <c r="F31" s="246" t="s">
        <v>704</v>
      </c>
      <c r="G31" s="246" t="s">
        <v>155</v>
      </c>
      <c r="H31" s="93">
        <v>80111600</v>
      </c>
      <c r="I31" s="247">
        <v>2</v>
      </c>
      <c r="J31" s="247">
        <v>11</v>
      </c>
      <c r="K31" s="52">
        <v>0</v>
      </c>
      <c r="L31" s="53">
        <f>82500000-5500000-35000000</f>
        <v>42000000</v>
      </c>
      <c r="M31" s="246" t="s">
        <v>464</v>
      </c>
      <c r="N31" s="53" t="s">
        <v>113</v>
      </c>
      <c r="O31" s="51" t="s">
        <v>219</v>
      </c>
      <c r="P31" s="248" t="str">
        <f>IFERROR(VLOOKUP(C31,TD!$B$33:$F$37,2,0)," ")</f>
        <v>O230117</v>
      </c>
      <c r="Q31" s="248" t="str">
        <f>IFERROR(VLOOKUP(C31,TD!$B$33:$F$37,3,0)," ")</f>
        <v>4599</v>
      </c>
      <c r="R31" s="248">
        <f>IFERROR(VLOOKUP(C31,TD!$B$33:$F$37,4,0)," ")</f>
        <v>20240207</v>
      </c>
      <c r="S31" s="51" t="s">
        <v>185</v>
      </c>
      <c r="T31" s="248" t="str">
        <f>IFERROR(VLOOKUP(S31,TD!$J$34:$K$44,2,0)," ")</f>
        <v>Infraestructura física, mantenimiento y dotación (Sedes construidas, mantenidas reforzadas)</v>
      </c>
      <c r="U31" s="249" t="str">
        <f>CONCATENATE(S31,"-",T31)</f>
        <v>08-Infraestructura física, mantenimiento y dotación (Sedes construidas, mantenidas reforzadas)</v>
      </c>
      <c r="V31" s="51" t="s">
        <v>238</v>
      </c>
      <c r="W31" s="248" t="str">
        <f>IFERROR(VLOOKUP(V31,TD!$N$34:$O$46,2,0)," ")</f>
        <v>Sedes mantenidas</v>
      </c>
      <c r="X31" s="249" t="str">
        <f>CONCATENATE(V31,"_",W31)</f>
        <v>016_Sedes mantenidas</v>
      </c>
      <c r="Y31" s="249" t="str">
        <f>CONCATENATE(U31," ",X31)</f>
        <v>08-Infraestructura física, mantenimiento y dotación (Sedes construidas, mantenidas reforzadas) 016_Sedes mantenidas</v>
      </c>
      <c r="Z31" s="248" t="str">
        <f>CONCATENATE(P31,Q31,R31,S31,V31)</f>
        <v>O23011745992024020708016</v>
      </c>
      <c r="AA31" s="248" t="str">
        <f>IFERROR(VLOOKUP(Y31,TD!$K$47:$L$65,2,0)," ")</f>
        <v>PM/0131/0108/45990160207</v>
      </c>
      <c r="AB31" s="53" t="s">
        <v>120</v>
      </c>
      <c r="AC31" s="250" t="s">
        <v>204</v>
      </c>
    </row>
    <row r="32" spans="2:29" s="28" customFormat="1" ht="56" x14ac:dyDescent="0.35">
      <c r="B32" s="77">
        <v>20250016</v>
      </c>
      <c r="C32" s="50" t="s">
        <v>208</v>
      </c>
      <c r="D32" s="246" t="s">
        <v>164</v>
      </c>
      <c r="E32" s="51" t="s">
        <v>389</v>
      </c>
      <c r="F32" s="246" t="s">
        <v>703</v>
      </c>
      <c r="G32" s="246" t="s">
        <v>155</v>
      </c>
      <c r="H32" s="93">
        <v>80111600</v>
      </c>
      <c r="I32" s="247">
        <v>2</v>
      </c>
      <c r="J32" s="247">
        <v>11</v>
      </c>
      <c r="K32" s="52">
        <v>0</v>
      </c>
      <c r="L32" s="53">
        <f>82500000-11000000-32500000</f>
        <v>39000000</v>
      </c>
      <c r="M32" s="246" t="s">
        <v>464</v>
      </c>
      <c r="N32" s="53" t="s">
        <v>113</v>
      </c>
      <c r="O32" s="51" t="s">
        <v>219</v>
      </c>
      <c r="P32" s="248" t="str">
        <f>IFERROR(VLOOKUP(C32,TD!$B$33:$F$37,2,0)," ")</f>
        <v>O230117</v>
      </c>
      <c r="Q32" s="248" t="str">
        <f>IFERROR(VLOOKUP(C32,TD!$B$33:$F$37,3,0)," ")</f>
        <v>4599</v>
      </c>
      <c r="R32" s="248">
        <f>IFERROR(VLOOKUP(C32,TD!$B$33:$F$37,4,0)," ")</f>
        <v>20240207</v>
      </c>
      <c r="S32" s="51" t="s">
        <v>185</v>
      </c>
      <c r="T32" s="248" t="str">
        <f>IFERROR(VLOOKUP(S32,TD!$J$34:$K$44,2,0)," ")</f>
        <v>Infraestructura física, mantenimiento y dotación (Sedes construidas, mantenidas reforzadas)</v>
      </c>
      <c r="U32" s="249" t="str">
        <f>CONCATENATE(S32,"-",T32)</f>
        <v>08-Infraestructura física, mantenimiento y dotación (Sedes construidas, mantenidas reforzadas)</v>
      </c>
      <c r="V32" s="51" t="s">
        <v>238</v>
      </c>
      <c r="W32" s="248" t="str">
        <f>IFERROR(VLOOKUP(V32,TD!$N$34:$O$46,2,0)," ")</f>
        <v>Sedes mantenidas</v>
      </c>
      <c r="X32" s="249" t="str">
        <f>CONCATENATE(V32,"_",W32)</f>
        <v>016_Sedes mantenidas</v>
      </c>
      <c r="Y32" s="249" t="str">
        <f>CONCATENATE(U32," ",X32)</f>
        <v>08-Infraestructura física, mantenimiento y dotación (Sedes construidas, mantenidas reforzadas) 016_Sedes mantenidas</v>
      </c>
      <c r="Z32" s="248" t="str">
        <f>CONCATENATE(P32,Q32,R32,S32,V32)</f>
        <v>O23011745992024020708016</v>
      </c>
      <c r="AA32" s="248" t="str">
        <f>IFERROR(VLOOKUP(Y32,TD!$K$47:$L$65,2,0)," ")</f>
        <v>PM/0131/0108/45990160207</v>
      </c>
      <c r="AB32" s="53" t="s">
        <v>120</v>
      </c>
      <c r="AC32" s="250" t="s">
        <v>204</v>
      </c>
    </row>
    <row r="33" spans="2:29" s="28" customFormat="1" ht="56" x14ac:dyDescent="0.35">
      <c r="B33" s="77">
        <v>20250017</v>
      </c>
      <c r="C33" s="50" t="s">
        <v>208</v>
      </c>
      <c r="D33" s="246" t="s">
        <v>164</v>
      </c>
      <c r="E33" s="51" t="s">
        <v>389</v>
      </c>
      <c r="F33" s="246" t="s">
        <v>703</v>
      </c>
      <c r="G33" s="246" t="s">
        <v>155</v>
      </c>
      <c r="H33" s="93">
        <v>80111600</v>
      </c>
      <c r="I33" s="247">
        <v>2</v>
      </c>
      <c r="J33" s="247">
        <v>11</v>
      </c>
      <c r="K33" s="52">
        <v>0</v>
      </c>
      <c r="L33" s="53">
        <f>75000000-45000000</f>
        <v>30000000</v>
      </c>
      <c r="M33" s="246" t="s">
        <v>464</v>
      </c>
      <c r="N33" s="53" t="s">
        <v>113</v>
      </c>
      <c r="O33" s="51" t="s">
        <v>219</v>
      </c>
      <c r="P33" s="248" t="str">
        <f>IFERROR(VLOOKUP(C33,TD!$B$33:$F$37,2,0)," ")</f>
        <v>O230117</v>
      </c>
      <c r="Q33" s="248" t="str">
        <f>IFERROR(VLOOKUP(C33,TD!$B$33:$F$37,3,0)," ")</f>
        <v>4599</v>
      </c>
      <c r="R33" s="248">
        <f>IFERROR(VLOOKUP(C33,TD!$B$33:$F$37,4,0)," ")</f>
        <v>20240207</v>
      </c>
      <c r="S33" s="51" t="s">
        <v>185</v>
      </c>
      <c r="T33" s="248" t="str">
        <f>IFERROR(VLOOKUP(S33,TD!$J$34:$K$44,2,0)," ")</f>
        <v>Infraestructura física, mantenimiento y dotación (Sedes construidas, mantenidas reforzadas)</v>
      </c>
      <c r="U33" s="249" t="str">
        <f>CONCATENATE(S33,"-",T33)</f>
        <v>08-Infraestructura física, mantenimiento y dotación (Sedes construidas, mantenidas reforzadas)</v>
      </c>
      <c r="V33" s="51" t="s">
        <v>238</v>
      </c>
      <c r="W33" s="248" t="str">
        <f>IFERROR(VLOOKUP(V33,TD!$N$34:$O$46,2,0)," ")</f>
        <v>Sedes mantenidas</v>
      </c>
      <c r="X33" s="249" t="str">
        <f>CONCATENATE(V33,"_",W33)</f>
        <v>016_Sedes mantenidas</v>
      </c>
      <c r="Y33" s="249" t="str">
        <f>CONCATENATE(U33," ",X33)</f>
        <v>08-Infraestructura física, mantenimiento y dotación (Sedes construidas, mantenidas reforzadas) 016_Sedes mantenidas</v>
      </c>
      <c r="Z33" s="248" t="str">
        <f>CONCATENATE(P33,Q33,R33,S33,V33)</f>
        <v>O23011745992024020708016</v>
      </c>
      <c r="AA33" s="248" t="str">
        <f>IFERROR(VLOOKUP(Y33,TD!$K$47:$L$65,2,0)," ")</f>
        <v>PM/0131/0108/45990160207</v>
      </c>
      <c r="AB33" s="53" t="s">
        <v>120</v>
      </c>
      <c r="AC33" s="250" t="s">
        <v>204</v>
      </c>
    </row>
    <row r="34" spans="2:29" s="28" customFormat="1" ht="56" x14ac:dyDescent="0.35">
      <c r="B34" s="77">
        <v>20250018</v>
      </c>
      <c r="C34" s="50" t="s">
        <v>208</v>
      </c>
      <c r="D34" s="246" t="s">
        <v>164</v>
      </c>
      <c r="E34" s="51" t="s">
        <v>389</v>
      </c>
      <c r="F34" s="246" t="s">
        <v>703</v>
      </c>
      <c r="G34" s="246" t="s">
        <v>155</v>
      </c>
      <c r="H34" s="93">
        <v>80111600</v>
      </c>
      <c r="I34" s="247">
        <v>2</v>
      </c>
      <c r="J34" s="247">
        <v>11</v>
      </c>
      <c r="K34" s="52">
        <v>0</v>
      </c>
      <c r="L34" s="53">
        <f>42700000-12700000</f>
        <v>30000000</v>
      </c>
      <c r="M34" s="246" t="s">
        <v>464</v>
      </c>
      <c r="N34" s="53" t="s">
        <v>113</v>
      </c>
      <c r="O34" s="51" t="s">
        <v>219</v>
      </c>
      <c r="P34" s="248" t="str">
        <f>IFERROR(VLOOKUP(C34,TD!$B$33:$F$37,2,0)," ")</f>
        <v>O230117</v>
      </c>
      <c r="Q34" s="248" t="str">
        <f>IFERROR(VLOOKUP(C34,TD!$B$33:$F$37,3,0)," ")</f>
        <v>4599</v>
      </c>
      <c r="R34" s="248">
        <f>IFERROR(VLOOKUP(C34,TD!$B$33:$F$37,4,0)," ")</f>
        <v>20240207</v>
      </c>
      <c r="S34" s="51" t="s">
        <v>185</v>
      </c>
      <c r="T34" s="248" t="str">
        <f>IFERROR(VLOOKUP(S34,TD!$J$34:$K$44,2,0)," ")</f>
        <v>Infraestructura física, mantenimiento y dotación (Sedes construidas, mantenidas reforzadas)</v>
      </c>
      <c r="U34" s="249" t="str">
        <f>CONCATENATE(S34,"-",T34)</f>
        <v>08-Infraestructura física, mantenimiento y dotación (Sedes construidas, mantenidas reforzadas)</v>
      </c>
      <c r="V34" s="51" t="s">
        <v>238</v>
      </c>
      <c r="W34" s="248" t="str">
        <f>IFERROR(VLOOKUP(V34,TD!$N$34:$O$46,2,0)," ")</f>
        <v>Sedes mantenidas</v>
      </c>
      <c r="X34" s="249" t="str">
        <f>CONCATENATE(V34,"_",W34)</f>
        <v>016_Sedes mantenidas</v>
      </c>
      <c r="Y34" s="249" t="str">
        <f>CONCATENATE(U34," ",X34)</f>
        <v>08-Infraestructura física, mantenimiento y dotación (Sedes construidas, mantenidas reforzadas) 016_Sedes mantenidas</v>
      </c>
      <c r="Z34" s="248" t="str">
        <f>CONCATENATE(P34,Q34,R34,S34,V34)</f>
        <v>O23011745992024020708016</v>
      </c>
      <c r="AA34" s="248" t="str">
        <f>IFERROR(VLOOKUP(Y34,TD!$K$47:$L$65,2,0)," ")</f>
        <v>PM/0131/0108/45990160207</v>
      </c>
      <c r="AB34" s="53" t="s">
        <v>120</v>
      </c>
      <c r="AC34" s="250" t="s">
        <v>204</v>
      </c>
    </row>
    <row r="35" spans="2:29" s="28" customFormat="1" ht="56" x14ac:dyDescent="0.35">
      <c r="B35" s="127">
        <v>20250019</v>
      </c>
      <c r="C35" s="50" t="s">
        <v>208</v>
      </c>
      <c r="D35" s="246" t="s">
        <v>164</v>
      </c>
      <c r="E35" s="51" t="s">
        <v>389</v>
      </c>
      <c r="F35" s="246" t="s">
        <v>705</v>
      </c>
      <c r="G35" s="246" t="s">
        <v>156</v>
      </c>
      <c r="H35" s="93">
        <v>80111600</v>
      </c>
      <c r="I35" s="247">
        <v>2</v>
      </c>
      <c r="J35" s="247">
        <v>11</v>
      </c>
      <c r="K35" s="52">
        <v>0</v>
      </c>
      <c r="L35" s="53">
        <f>66000000-28800000</f>
        <v>37200000</v>
      </c>
      <c r="M35" s="246" t="s">
        <v>464</v>
      </c>
      <c r="N35" s="53" t="s">
        <v>113</v>
      </c>
      <c r="O35" s="51" t="s">
        <v>219</v>
      </c>
      <c r="P35" s="248" t="str">
        <f>IFERROR(VLOOKUP(C35,TD!$B$33:$F$37,2,0)," ")</f>
        <v>O230117</v>
      </c>
      <c r="Q35" s="248" t="str">
        <f>IFERROR(VLOOKUP(C35,TD!$B$33:$F$37,3,0)," ")</f>
        <v>4599</v>
      </c>
      <c r="R35" s="248">
        <f>IFERROR(VLOOKUP(C35,TD!$B$33:$F$37,4,0)," ")</f>
        <v>20240207</v>
      </c>
      <c r="S35" s="51" t="s">
        <v>185</v>
      </c>
      <c r="T35" s="248" t="str">
        <f>IFERROR(VLOOKUP(S35,TD!$J$34:$K$44,2,0)," ")</f>
        <v>Infraestructura física, mantenimiento y dotación (Sedes construidas, mantenidas reforzadas)</v>
      </c>
      <c r="U35" s="249" t="str">
        <f>CONCATENATE(S35,"-",T35)</f>
        <v>08-Infraestructura física, mantenimiento y dotación (Sedes construidas, mantenidas reforzadas)</v>
      </c>
      <c r="V35" s="51" t="s">
        <v>238</v>
      </c>
      <c r="W35" s="248" t="str">
        <f>IFERROR(VLOOKUP(V35,TD!$N$34:$O$46,2,0)," ")</f>
        <v>Sedes mantenidas</v>
      </c>
      <c r="X35" s="249" t="str">
        <f>CONCATENATE(V35,"_",W35)</f>
        <v>016_Sedes mantenidas</v>
      </c>
      <c r="Y35" s="249" t="str">
        <f>CONCATENATE(U35," ",X35)</f>
        <v>08-Infraestructura física, mantenimiento y dotación (Sedes construidas, mantenidas reforzadas) 016_Sedes mantenidas</v>
      </c>
      <c r="Z35" s="248" t="str">
        <f>CONCATENATE(P35,Q35,R35,S35,V35)</f>
        <v>O23011745992024020708016</v>
      </c>
      <c r="AA35" s="248" t="str">
        <f>IFERROR(VLOOKUP(Y35,TD!$K$47:$L$65,2,0)," ")</f>
        <v>PM/0131/0108/45990160207</v>
      </c>
      <c r="AB35" s="53" t="s">
        <v>138</v>
      </c>
      <c r="AC35" s="250" t="s">
        <v>204</v>
      </c>
    </row>
    <row r="36" spans="2:29" s="28" customFormat="1" ht="56" x14ac:dyDescent="0.35">
      <c r="B36" s="127">
        <v>20250020</v>
      </c>
      <c r="C36" s="50" t="s">
        <v>208</v>
      </c>
      <c r="D36" s="246" t="s">
        <v>164</v>
      </c>
      <c r="E36" s="51" t="s">
        <v>389</v>
      </c>
      <c r="F36" s="246" t="s">
        <v>705</v>
      </c>
      <c r="G36" s="246" t="s">
        <v>156</v>
      </c>
      <c r="H36" s="93">
        <v>80111600</v>
      </c>
      <c r="I36" s="247">
        <v>2</v>
      </c>
      <c r="J36" s="247">
        <v>11</v>
      </c>
      <c r="K36" s="52">
        <v>0</v>
      </c>
      <c r="L36" s="53">
        <v>37200000</v>
      </c>
      <c r="M36" s="246" t="s">
        <v>464</v>
      </c>
      <c r="N36" s="53" t="s">
        <v>113</v>
      </c>
      <c r="O36" s="51" t="s">
        <v>219</v>
      </c>
      <c r="P36" s="248" t="str">
        <f>IFERROR(VLOOKUP(C36,TD!$B$33:$F$37,2,0)," ")</f>
        <v>O230117</v>
      </c>
      <c r="Q36" s="248" t="str">
        <f>IFERROR(VLOOKUP(C36,TD!$B$33:$F$37,3,0)," ")</f>
        <v>4599</v>
      </c>
      <c r="R36" s="248">
        <f>IFERROR(VLOOKUP(C36,TD!$B$33:$F$37,4,0)," ")</f>
        <v>20240207</v>
      </c>
      <c r="S36" s="51" t="s">
        <v>185</v>
      </c>
      <c r="T36" s="248" t="str">
        <f>IFERROR(VLOOKUP(S36,TD!$J$34:$K$44,2,0)," ")</f>
        <v>Infraestructura física, mantenimiento y dotación (Sedes construidas, mantenidas reforzadas)</v>
      </c>
      <c r="U36" s="249" t="str">
        <f>CONCATENATE(S36,"-",T36)</f>
        <v>08-Infraestructura física, mantenimiento y dotación (Sedes construidas, mantenidas reforzadas)</v>
      </c>
      <c r="V36" s="51" t="s">
        <v>238</v>
      </c>
      <c r="W36" s="248" t="str">
        <f>IFERROR(VLOOKUP(V36,TD!$N$34:$O$46,2,0)," ")</f>
        <v>Sedes mantenidas</v>
      </c>
      <c r="X36" s="249" t="str">
        <f>CONCATENATE(V36,"_",W36)</f>
        <v>016_Sedes mantenidas</v>
      </c>
      <c r="Y36" s="249" t="str">
        <f>CONCATENATE(U36," ",X36)</f>
        <v>08-Infraestructura física, mantenimiento y dotación (Sedes construidas, mantenidas reforzadas) 016_Sedes mantenidas</v>
      </c>
      <c r="Z36" s="248" t="str">
        <f>CONCATENATE(P36,Q36,R36,S36,V36)</f>
        <v>O23011745992024020708016</v>
      </c>
      <c r="AA36" s="248" t="str">
        <f>IFERROR(VLOOKUP(Y36,TD!$K$47:$L$65,2,0)," ")</f>
        <v>PM/0131/0108/45990160207</v>
      </c>
      <c r="AB36" s="53" t="s">
        <v>138</v>
      </c>
      <c r="AC36" s="250" t="s">
        <v>204</v>
      </c>
    </row>
    <row r="37" spans="2:29" s="28" customFormat="1" ht="56" x14ac:dyDescent="0.35">
      <c r="B37" s="127">
        <v>20250021</v>
      </c>
      <c r="C37" s="50" t="s">
        <v>208</v>
      </c>
      <c r="D37" s="246" t="s">
        <v>164</v>
      </c>
      <c r="E37" s="51" t="s">
        <v>389</v>
      </c>
      <c r="F37" s="246" t="s">
        <v>705</v>
      </c>
      <c r="G37" s="246" t="s">
        <v>156</v>
      </c>
      <c r="H37" s="93">
        <v>80111600</v>
      </c>
      <c r="I37" s="247">
        <v>2</v>
      </c>
      <c r="J37" s="247">
        <v>11</v>
      </c>
      <c r="K37" s="52">
        <v>0</v>
      </c>
      <c r="L37" s="53">
        <f>71500000-34300000</f>
        <v>37200000</v>
      </c>
      <c r="M37" s="246" t="s">
        <v>464</v>
      </c>
      <c r="N37" s="53" t="s">
        <v>113</v>
      </c>
      <c r="O37" s="51" t="s">
        <v>219</v>
      </c>
      <c r="P37" s="248" t="str">
        <f>IFERROR(VLOOKUP(C37,TD!$B$33:$F$37,2,0)," ")</f>
        <v>O230117</v>
      </c>
      <c r="Q37" s="248" t="str">
        <f>IFERROR(VLOOKUP(C37,TD!$B$33:$F$37,3,0)," ")</f>
        <v>4599</v>
      </c>
      <c r="R37" s="248">
        <f>IFERROR(VLOOKUP(C37,TD!$B$33:$F$37,4,0)," ")</f>
        <v>20240207</v>
      </c>
      <c r="S37" s="51" t="s">
        <v>185</v>
      </c>
      <c r="T37" s="248" t="str">
        <f>IFERROR(VLOOKUP(S37,TD!$J$34:$K$44,2,0)," ")</f>
        <v>Infraestructura física, mantenimiento y dotación (Sedes construidas, mantenidas reforzadas)</v>
      </c>
      <c r="U37" s="249" t="str">
        <f>CONCATENATE(S37,"-",T37)</f>
        <v>08-Infraestructura física, mantenimiento y dotación (Sedes construidas, mantenidas reforzadas)</v>
      </c>
      <c r="V37" s="51" t="s">
        <v>238</v>
      </c>
      <c r="W37" s="248" t="str">
        <f>IFERROR(VLOOKUP(V37,TD!$N$34:$O$46,2,0)," ")</f>
        <v>Sedes mantenidas</v>
      </c>
      <c r="X37" s="249" t="str">
        <f>CONCATENATE(V37,"_",W37)</f>
        <v>016_Sedes mantenidas</v>
      </c>
      <c r="Y37" s="249" t="str">
        <f>CONCATENATE(U37," ",X37)</f>
        <v>08-Infraestructura física, mantenimiento y dotación (Sedes construidas, mantenidas reforzadas) 016_Sedes mantenidas</v>
      </c>
      <c r="Z37" s="248" t="str">
        <f>CONCATENATE(P37,Q37,R37,S37,V37)</f>
        <v>O23011745992024020708016</v>
      </c>
      <c r="AA37" s="248" t="str">
        <f>IFERROR(VLOOKUP(Y37,TD!$K$47:$L$65,2,0)," ")</f>
        <v>PM/0131/0108/45990160207</v>
      </c>
      <c r="AB37" s="53" t="s">
        <v>138</v>
      </c>
      <c r="AC37" s="250" t="s">
        <v>204</v>
      </c>
    </row>
    <row r="38" spans="2:29" s="28" customFormat="1" ht="70" x14ac:dyDescent="0.35">
      <c r="B38" s="127">
        <v>20250022</v>
      </c>
      <c r="C38" s="50" t="s">
        <v>208</v>
      </c>
      <c r="D38" s="246" t="s">
        <v>164</v>
      </c>
      <c r="E38" s="51" t="s">
        <v>389</v>
      </c>
      <c r="F38" s="246" t="s">
        <v>705</v>
      </c>
      <c r="G38" s="246" t="s">
        <v>155</v>
      </c>
      <c r="H38" s="93">
        <v>80111600</v>
      </c>
      <c r="I38" s="247">
        <v>2</v>
      </c>
      <c r="J38" s="247">
        <v>11</v>
      </c>
      <c r="K38" s="52">
        <v>0</v>
      </c>
      <c r="L38" s="53">
        <v>19000000</v>
      </c>
      <c r="M38" s="246" t="s">
        <v>464</v>
      </c>
      <c r="N38" s="53" t="s">
        <v>113</v>
      </c>
      <c r="O38" s="51" t="s">
        <v>219</v>
      </c>
      <c r="P38" s="248" t="str">
        <f>IFERROR(VLOOKUP(C38,TD!$B$33:$F$37,2,0)," ")</f>
        <v>O230117</v>
      </c>
      <c r="Q38" s="248" t="str">
        <f>IFERROR(VLOOKUP(C38,TD!$B$33:$F$37,3,0)," ")</f>
        <v>4599</v>
      </c>
      <c r="R38" s="248">
        <f>IFERROR(VLOOKUP(C38,TD!$B$33:$F$37,4,0)," ")</f>
        <v>20240207</v>
      </c>
      <c r="S38" s="51" t="s">
        <v>185</v>
      </c>
      <c r="T38" s="248" t="str">
        <f>IFERROR(VLOOKUP(S38,TD!$J$34:$K$44,2,0)," ")</f>
        <v>Infraestructura física, mantenimiento y dotación (Sedes construidas, mantenidas reforzadas)</v>
      </c>
      <c r="U38" s="249" t="str">
        <f>CONCATENATE(S38,"-",T38)</f>
        <v>08-Infraestructura física, mantenimiento y dotación (Sedes construidas, mantenidas reforzadas)</v>
      </c>
      <c r="V38" s="51" t="s">
        <v>238</v>
      </c>
      <c r="W38" s="248" t="str">
        <f>IFERROR(VLOOKUP(V38,TD!$N$34:$O$46,2,0)," ")</f>
        <v>Sedes mantenidas</v>
      </c>
      <c r="X38" s="249" t="str">
        <f>CONCATENATE(V38,"_",W38)</f>
        <v>016_Sedes mantenidas</v>
      </c>
      <c r="Y38" s="249" t="str">
        <f>CONCATENATE(U38," ",X38)</f>
        <v>08-Infraestructura física, mantenimiento y dotación (Sedes construidas, mantenidas reforzadas) 016_Sedes mantenidas</v>
      </c>
      <c r="Z38" s="248" t="str">
        <f>CONCATENATE(P38,Q38,R38,S38,V38)</f>
        <v>O23011745992024020708016</v>
      </c>
      <c r="AA38" s="248" t="str">
        <f>IFERROR(VLOOKUP(Y38,TD!$K$47:$L$65,2,0)," ")</f>
        <v>PM/0131/0108/45990160207</v>
      </c>
      <c r="AB38" s="53" t="s">
        <v>138</v>
      </c>
      <c r="AC38" s="250" t="s">
        <v>204</v>
      </c>
    </row>
    <row r="39" spans="2:29" s="28" customFormat="1" ht="56" x14ac:dyDescent="0.35">
      <c r="B39" s="77">
        <v>20250023</v>
      </c>
      <c r="C39" s="50" t="s">
        <v>208</v>
      </c>
      <c r="D39" s="246" t="s">
        <v>164</v>
      </c>
      <c r="E39" s="51" t="s">
        <v>389</v>
      </c>
      <c r="F39" s="246" t="s">
        <v>388</v>
      </c>
      <c r="G39" s="246" t="s">
        <v>155</v>
      </c>
      <c r="H39" s="93">
        <v>80111600</v>
      </c>
      <c r="I39" s="247">
        <v>2</v>
      </c>
      <c r="J39" s="247">
        <v>11</v>
      </c>
      <c r="K39" s="52">
        <v>0</v>
      </c>
      <c r="L39" s="53">
        <f>93500000-1650000-41750000</f>
        <v>50100000</v>
      </c>
      <c r="M39" s="246" t="s">
        <v>464</v>
      </c>
      <c r="N39" s="53" t="s">
        <v>113</v>
      </c>
      <c r="O39" s="51" t="s">
        <v>219</v>
      </c>
      <c r="P39" s="248" t="str">
        <f>IFERROR(VLOOKUP(C39,TD!$B$33:$F$37,2,0)," ")</f>
        <v>O230117</v>
      </c>
      <c r="Q39" s="248" t="str">
        <f>IFERROR(VLOOKUP(C39,TD!$B$33:$F$37,3,0)," ")</f>
        <v>4599</v>
      </c>
      <c r="R39" s="248">
        <f>IFERROR(VLOOKUP(C39,TD!$B$33:$F$37,4,0)," ")</f>
        <v>20240207</v>
      </c>
      <c r="S39" s="51" t="s">
        <v>185</v>
      </c>
      <c r="T39" s="248" t="str">
        <f>IFERROR(VLOOKUP(S39,TD!$J$34:$K$44,2,0)," ")</f>
        <v>Infraestructura física, mantenimiento y dotación (Sedes construidas, mantenidas reforzadas)</v>
      </c>
      <c r="U39" s="249" t="str">
        <f>CONCATENATE(S39,"-",T39)</f>
        <v>08-Infraestructura física, mantenimiento y dotación (Sedes construidas, mantenidas reforzadas)</v>
      </c>
      <c r="V39" s="51" t="s">
        <v>238</v>
      </c>
      <c r="W39" s="248" t="str">
        <f>IFERROR(VLOOKUP(V39,TD!$N$34:$O$46,2,0)," ")</f>
        <v>Sedes mantenidas</v>
      </c>
      <c r="X39" s="249" t="str">
        <f>CONCATENATE(V39,"_",W39)</f>
        <v>016_Sedes mantenidas</v>
      </c>
      <c r="Y39" s="249" t="str">
        <f>CONCATENATE(U39," ",X39)</f>
        <v>08-Infraestructura física, mantenimiento y dotación (Sedes construidas, mantenidas reforzadas) 016_Sedes mantenidas</v>
      </c>
      <c r="Z39" s="248" t="str">
        <f>CONCATENATE(P39,Q39,R39,S39,V39)</f>
        <v>O23011745992024020708016</v>
      </c>
      <c r="AA39" s="248" t="str">
        <f>IFERROR(VLOOKUP(Y39,TD!$K$47:$L$65,2,0)," ")</f>
        <v>PM/0131/0108/45990160207</v>
      </c>
      <c r="AB39" s="53" t="s">
        <v>138</v>
      </c>
      <c r="AC39" s="250" t="s">
        <v>204</v>
      </c>
    </row>
    <row r="40" spans="2:29" s="28" customFormat="1" ht="56" x14ac:dyDescent="0.35">
      <c r="B40" s="77">
        <v>20250024</v>
      </c>
      <c r="C40" s="50" t="s">
        <v>208</v>
      </c>
      <c r="D40" s="246" t="s">
        <v>164</v>
      </c>
      <c r="E40" s="51" t="s">
        <v>389</v>
      </c>
      <c r="F40" s="246" t="s">
        <v>458</v>
      </c>
      <c r="G40" s="246" t="s">
        <v>155</v>
      </c>
      <c r="H40" s="93">
        <v>80111600</v>
      </c>
      <c r="I40" s="247">
        <v>2</v>
      </c>
      <c r="J40" s="247">
        <v>11</v>
      </c>
      <c r="K40" s="52">
        <v>0</v>
      </c>
      <c r="L40" s="125">
        <f>346500000-63000000</f>
        <v>283500000</v>
      </c>
      <c r="M40" s="246" t="s">
        <v>464</v>
      </c>
      <c r="N40" s="53" t="s">
        <v>113</v>
      </c>
      <c r="O40" s="51" t="s">
        <v>219</v>
      </c>
      <c r="P40" s="248" t="str">
        <f>IFERROR(VLOOKUP(C40,TD!$B$33:$F$37,2,0)," ")</f>
        <v>O230117</v>
      </c>
      <c r="Q40" s="248" t="str">
        <f>IFERROR(VLOOKUP(C40,TD!$B$33:$F$37,3,0)," ")</f>
        <v>4599</v>
      </c>
      <c r="R40" s="248">
        <f>IFERROR(VLOOKUP(C40,TD!$B$33:$F$37,4,0)," ")</f>
        <v>20240207</v>
      </c>
      <c r="S40" s="51" t="s">
        <v>185</v>
      </c>
      <c r="T40" s="248" t="str">
        <f>IFERROR(VLOOKUP(S40,TD!$J$34:$K$44,2,0)," ")</f>
        <v>Infraestructura física, mantenimiento y dotación (Sedes construidas, mantenidas reforzadas)</v>
      </c>
      <c r="U40" s="249" t="str">
        <f>CONCATENATE(S40,"-",T40)</f>
        <v>08-Infraestructura física, mantenimiento y dotación (Sedes construidas, mantenidas reforzadas)</v>
      </c>
      <c r="V40" s="51" t="s">
        <v>238</v>
      </c>
      <c r="W40" s="248" t="str">
        <f>IFERROR(VLOOKUP(V40,TD!$N$34:$O$46,2,0)," ")</f>
        <v>Sedes mantenidas</v>
      </c>
      <c r="X40" s="249" t="str">
        <f>CONCATENATE(V40,"_",W40)</f>
        <v>016_Sedes mantenidas</v>
      </c>
      <c r="Y40" s="249" t="str">
        <f>CONCATENATE(U40," ",X40)</f>
        <v>08-Infraestructura física, mantenimiento y dotación (Sedes construidas, mantenidas reforzadas) 016_Sedes mantenidas</v>
      </c>
      <c r="Z40" s="248" t="str">
        <f>CONCATENATE(P40,Q40,R40,S40,V40)</f>
        <v>O23011745992024020708016</v>
      </c>
      <c r="AA40" s="248" t="str">
        <f>IFERROR(VLOOKUP(Y40,TD!$K$47:$L$65,2,0)," ")</f>
        <v>PM/0131/0108/45990160207</v>
      </c>
      <c r="AB40" s="53" t="s">
        <v>120</v>
      </c>
      <c r="AC40" s="250" t="s">
        <v>204</v>
      </c>
    </row>
    <row r="41" spans="2:29" s="28" customFormat="1" ht="56" x14ac:dyDescent="0.35">
      <c r="B41" s="77">
        <v>20250025</v>
      </c>
      <c r="C41" s="50" t="s">
        <v>208</v>
      </c>
      <c r="D41" s="246" t="s">
        <v>164</v>
      </c>
      <c r="E41" s="51" t="s">
        <v>389</v>
      </c>
      <c r="F41" s="246" t="s">
        <v>706</v>
      </c>
      <c r="G41" s="246" t="s">
        <v>155</v>
      </c>
      <c r="H41" s="93">
        <v>80111600</v>
      </c>
      <c r="I41" s="247">
        <v>2</v>
      </c>
      <c r="J41" s="247">
        <v>11</v>
      </c>
      <c r="K41" s="52">
        <v>0</v>
      </c>
      <c r="L41" s="53">
        <f>55000000-2750000-31850000</f>
        <v>20400000</v>
      </c>
      <c r="M41" s="246" t="s">
        <v>464</v>
      </c>
      <c r="N41" s="53" t="s">
        <v>113</v>
      </c>
      <c r="O41" s="51" t="s">
        <v>219</v>
      </c>
      <c r="P41" s="248" t="str">
        <f>IFERROR(VLOOKUP(C41,TD!$B$33:$F$37,2,0)," ")</f>
        <v>O230117</v>
      </c>
      <c r="Q41" s="248" t="str">
        <f>IFERROR(VLOOKUP(C41,TD!$B$33:$F$37,3,0)," ")</f>
        <v>4599</v>
      </c>
      <c r="R41" s="248">
        <f>IFERROR(VLOOKUP(C41,TD!$B$33:$F$37,4,0)," ")</f>
        <v>20240207</v>
      </c>
      <c r="S41" s="51" t="s">
        <v>185</v>
      </c>
      <c r="T41" s="248" t="str">
        <f>IFERROR(VLOOKUP(S41,TD!$J$34:$K$44,2,0)," ")</f>
        <v>Infraestructura física, mantenimiento y dotación (Sedes construidas, mantenidas reforzadas)</v>
      </c>
      <c r="U41" s="249" t="str">
        <f>CONCATENATE(S41,"-",T41)</f>
        <v>08-Infraestructura física, mantenimiento y dotación (Sedes construidas, mantenidas reforzadas)</v>
      </c>
      <c r="V41" s="51" t="s">
        <v>238</v>
      </c>
      <c r="W41" s="248" t="str">
        <f>IFERROR(VLOOKUP(V41,TD!$N$34:$O$46,2,0)," ")</f>
        <v>Sedes mantenidas</v>
      </c>
      <c r="X41" s="249" t="str">
        <f>CONCATENATE(V41,"_",W41)</f>
        <v>016_Sedes mantenidas</v>
      </c>
      <c r="Y41" s="249" t="str">
        <f>CONCATENATE(U41," ",X41)</f>
        <v>08-Infraestructura física, mantenimiento y dotación (Sedes construidas, mantenidas reforzadas) 016_Sedes mantenidas</v>
      </c>
      <c r="Z41" s="248" t="str">
        <f>CONCATENATE(P41,Q41,R41,S41,V41)</f>
        <v>O23011745992024020708016</v>
      </c>
      <c r="AA41" s="248" t="str">
        <f>IFERROR(VLOOKUP(Y41,TD!$K$47:$L$65,2,0)," ")</f>
        <v>PM/0131/0108/45990160207</v>
      </c>
      <c r="AB41" s="53" t="s">
        <v>138</v>
      </c>
      <c r="AC41" s="250" t="s">
        <v>204</v>
      </c>
    </row>
    <row r="42" spans="2:29" s="28" customFormat="1" ht="56" x14ac:dyDescent="0.35">
      <c r="B42" s="77">
        <v>20250027</v>
      </c>
      <c r="C42" s="50" t="s">
        <v>208</v>
      </c>
      <c r="D42" s="246" t="s">
        <v>164</v>
      </c>
      <c r="E42" s="51" t="s">
        <v>389</v>
      </c>
      <c r="F42" s="246" t="s">
        <v>459</v>
      </c>
      <c r="G42" s="246" t="s">
        <v>156</v>
      </c>
      <c r="H42" s="93">
        <v>80111600</v>
      </c>
      <c r="I42" s="247">
        <v>2</v>
      </c>
      <c r="J42" s="247">
        <v>11</v>
      </c>
      <c r="K42" s="52">
        <v>0</v>
      </c>
      <c r="L42" s="53">
        <f>37400000-17000000</f>
        <v>20400000</v>
      </c>
      <c r="M42" s="246" t="s">
        <v>464</v>
      </c>
      <c r="N42" s="53" t="s">
        <v>113</v>
      </c>
      <c r="O42" s="51" t="s">
        <v>219</v>
      </c>
      <c r="P42" s="248" t="str">
        <f>IFERROR(VLOOKUP(C42,TD!$B$33:$F$37,2,0)," ")</f>
        <v>O230117</v>
      </c>
      <c r="Q42" s="248" t="str">
        <f>IFERROR(VLOOKUP(C42,TD!$B$33:$F$37,3,0)," ")</f>
        <v>4599</v>
      </c>
      <c r="R42" s="248">
        <f>IFERROR(VLOOKUP(C42,TD!$B$33:$F$37,4,0)," ")</f>
        <v>20240207</v>
      </c>
      <c r="S42" s="51" t="s">
        <v>185</v>
      </c>
      <c r="T42" s="248" t="str">
        <f>IFERROR(VLOOKUP(S42,TD!$J$34:$K$44,2,0)," ")</f>
        <v>Infraestructura física, mantenimiento y dotación (Sedes construidas, mantenidas reforzadas)</v>
      </c>
      <c r="U42" s="249" t="str">
        <f>CONCATENATE(S42,"-",T42)</f>
        <v>08-Infraestructura física, mantenimiento y dotación (Sedes construidas, mantenidas reforzadas)</v>
      </c>
      <c r="V42" s="51" t="s">
        <v>238</v>
      </c>
      <c r="W42" s="248" t="str">
        <f>IFERROR(VLOOKUP(V42,TD!$N$34:$O$46,2,0)," ")</f>
        <v>Sedes mantenidas</v>
      </c>
      <c r="X42" s="249" t="str">
        <f>CONCATENATE(V42,"_",W42)</f>
        <v>016_Sedes mantenidas</v>
      </c>
      <c r="Y42" s="249" t="str">
        <f>CONCATENATE(U42," ",X42)</f>
        <v>08-Infraestructura física, mantenimiento y dotación (Sedes construidas, mantenidas reforzadas) 016_Sedes mantenidas</v>
      </c>
      <c r="Z42" s="248" t="str">
        <f>CONCATENATE(P42,Q42,R42,S42,V42)</f>
        <v>O23011745992024020708016</v>
      </c>
      <c r="AA42" s="248" t="str">
        <f>IFERROR(VLOOKUP(Y42,TD!$K$47:$L$65,2,0)," ")</f>
        <v>PM/0131/0108/45990160207</v>
      </c>
      <c r="AB42" s="53" t="s">
        <v>138</v>
      </c>
      <c r="AC42" s="250" t="s">
        <v>204</v>
      </c>
    </row>
    <row r="43" spans="2:29" s="28" customFormat="1" ht="56" x14ac:dyDescent="0.35">
      <c r="B43" s="77">
        <v>20250028</v>
      </c>
      <c r="C43" s="50" t="s">
        <v>208</v>
      </c>
      <c r="D43" s="246" t="s">
        <v>164</v>
      </c>
      <c r="E43" s="51" t="s">
        <v>389</v>
      </c>
      <c r="F43" s="246" t="s">
        <v>459</v>
      </c>
      <c r="G43" s="246" t="s">
        <v>156</v>
      </c>
      <c r="H43" s="93">
        <v>80111600</v>
      </c>
      <c r="I43" s="247">
        <v>2</v>
      </c>
      <c r="J43" s="247">
        <v>11</v>
      </c>
      <c r="K43" s="52">
        <v>0</v>
      </c>
      <c r="L43" s="53">
        <f>37400000-17000000</f>
        <v>20400000</v>
      </c>
      <c r="M43" s="246" t="s">
        <v>464</v>
      </c>
      <c r="N43" s="53" t="s">
        <v>113</v>
      </c>
      <c r="O43" s="51" t="s">
        <v>219</v>
      </c>
      <c r="P43" s="248" t="str">
        <f>IFERROR(VLOOKUP(C43,TD!$B$33:$F$37,2,0)," ")</f>
        <v>O230117</v>
      </c>
      <c r="Q43" s="248" t="str">
        <f>IFERROR(VLOOKUP(C43,TD!$B$33:$F$37,3,0)," ")</f>
        <v>4599</v>
      </c>
      <c r="R43" s="248">
        <f>IFERROR(VLOOKUP(C43,TD!$B$33:$F$37,4,0)," ")</f>
        <v>20240207</v>
      </c>
      <c r="S43" s="51" t="s">
        <v>185</v>
      </c>
      <c r="T43" s="248" t="str">
        <f>IFERROR(VLOOKUP(S43,TD!$J$34:$K$44,2,0)," ")</f>
        <v>Infraestructura física, mantenimiento y dotación (Sedes construidas, mantenidas reforzadas)</v>
      </c>
      <c r="U43" s="249" t="str">
        <f>CONCATENATE(S43,"-",T43)</f>
        <v>08-Infraestructura física, mantenimiento y dotación (Sedes construidas, mantenidas reforzadas)</v>
      </c>
      <c r="V43" s="51" t="s">
        <v>238</v>
      </c>
      <c r="W43" s="248" t="str">
        <f>IFERROR(VLOOKUP(V43,TD!$N$34:$O$46,2,0)," ")</f>
        <v>Sedes mantenidas</v>
      </c>
      <c r="X43" s="249" t="str">
        <f>CONCATENATE(V43,"_",W43)</f>
        <v>016_Sedes mantenidas</v>
      </c>
      <c r="Y43" s="249" t="str">
        <f>CONCATENATE(U43," ",X43)</f>
        <v>08-Infraestructura física, mantenimiento y dotación (Sedes construidas, mantenidas reforzadas) 016_Sedes mantenidas</v>
      </c>
      <c r="Z43" s="248" t="str">
        <f>CONCATENATE(P43,Q43,R43,S43,V43)</f>
        <v>O23011745992024020708016</v>
      </c>
      <c r="AA43" s="248" t="str">
        <f>IFERROR(VLOOKUP(Y43,TD!$K$47:$L$65,2,0)," ")</f>
        <v>PM/0131/0108/45990160207</v>
      </c>
      <c r="AB43" s="53" t="s">
        <v>138</v>
      </c>
      <c r="AC43" s="250" t="s">
        <v>204</v>
      </c>
    </row>
    <row r="44" spans="2:29" s="28" customFormat="1" ht="56" x14ac:dyDescent="0.35">
      <c r="B44" s="77">
        <v>20250029</v>
      </c>
      <c r="C44" s="50" t="s">
        <v>208</v>
      </c>
      <c r="D44" s="246" t="s">
        <v>164</v>
      </c>
      <c r="E44" s="51" t="s">
        <v>389</v>
      </c>
      <c r="F44" s="246" t="s">
        <v>707</v>
      </c>
      <c r="G44" s="246" t="s">
        <v>155</v>
      </c>
      <c r="H44" s="93">
        <v>80111600</v>
      </c>
      <c r="I44" s="247">
        <v>2</v>
      </c>
      <c r="J44" s="247">
        <v>11</v>
      </c>
      <c r="K44" s="52">
        <v>0</v>
      </c>
      <c r="L44" s="53">
        <f>71500000-29500000</f>
        <v>42000000</v>
      </c>
      <c r="M44" s="246" t="s">
        <v>464</v>
      </c>
      <c r="N44" s="53" t="s">
        <v>113</v>
      </c>
      <c r="O44" s="51" t="s">
        <v>219</v>
      </c>
      <c r="P44" s="248" t="str">
        <f>IFERROR(VLOOKUP(C44,TD!$B$33:$F$37,2,0)," ")</f>
        <v>O230117</v>
      </c>
      <c r="Q44" s="248" t="str">
        <f>IFERROR(VLOOKUP(C44,TD!$B$33:$F$37,3,0)," ")</f>
        <v>4599</v>
      </c>
      <c r="R44" s="248">
        <f>IFERROR(VLOOKUP(C44,TD!$B$33:$F$37,4,0)," ")</f>
        <v>20240207</v>
      </c>
      <c r="S44" s="51" t="s">
        <v>185</v>
      </c>
      <c r="T44" s="248" t="str">
        <f>IFERROR(VLOOKUP(S44,TD!$J$34:$K$44,2,0)," ")</f>
        <v>Infraestructura física, mantenimiento y dotación (Sedes construidas, mantenidas reforzadas)</v>
      </c>
      <c r="U44" s="249" t="str">
        <f>CONCATENATE(S44,"-",T44)</f>
        <v>08-Infraestructura física, mantenimiento y dotación (Sedes construidas, mantenidas reforzadas)</v>
      </c>
      <c r="V44" s="51" t="s">
        <v>238</v>
      </c>
      <c r="W44" s="248" t="str">
        <f>IFERROR(VLOOKUP(V44,TD!$N$34:$O$46,2,0)," ")</f>
        <v>Sedes mantenidas</v>
      </c>
      <c r="X44" s="249" t="str">
        <f>CONCATENATE(V44,"_",W44)</f>
        <v>016_Sedes mantenidas</v>
      </c>
      <c r="Y44" s="249" t="str">
        <f>CONCATENATE(U44," ",X44)</f>
        <v>08-Infraestructura física, mantenimiento y dotación (Sedes construidas, mantenidas reforzadas) 016_Sedes mantenidas</v>
      </c>
      <c r="Z44" s="248" t="str">
        <f>CONCATENATE(P44,Q44,R44,S44,V44)</f>
        <v>O23011745992024020708016</v>
      </c>
      <c r="AA44" s="248" t="str">
        <f>IFERROR(VLOOKUP(Y44,TD!$K$47:$L$65,2,0)," ")</f>
        <v>PM/0131/0108/45990160207</v>
      </c>
      <c r="AB44" s="53" t="s">
        <v>138</v>
      </c>
      <c r="AC44" s="250" t="s">
        <v>204</v>
      </c>
    </row>
    <row r="45" spans="2:29" s="28" customFormat="1" ht="56" x14ac:dyDescent="0.35">
      <c r="B45" s="77">
        <v>20250030</v>
      </c>
      <c r="C45" s="50" t="s">
        <v>208</v>
      </c>
      <c r="D45" s="246" t="s">
        <v>164</v>
      </c>
      <c r="E45" s="51" t="s">
        <v>389</v>
      </c>
      <c r="F45" s="246" t="s">
        <v>460</v>
      </c>
      <c r="G45" s="246" t="s">
        <v>155</v>
      </c>
      <c r="H45" s="93">
        <v>80111600</v>
      </c>
      <c r="I45" s="247">
        <v>2</v>
      </c>
      <c r="J45" s="247">
        <v>11</v>
      </c>
      <c r="K45" s="52">
        <v>0</v>
      </c>
      <c r="L45" s="53">
        <f>71500000-32500000</f>
        <v>39000000</v>
      </c>
      <c r="M45" s="246" t="s">
        <v>464</v>
      </c>
      <c r="N45" s="53" t="s">
        <v>113</v>
      </c>
      <c r="O45" s="51" t="s">
        <v>219</v>
      </c>
      <c r="P45" s="248" t="str">
        <f>IFERROR(VLOOKUP(C45,TD!$B$33:$F$37,2,0)," ")</f>
        <v>O230117</v>
      </c>
      <c r="Q45" s="248" t="str">
        <f>IFERROR(VLOOKUP(C45,TD!$B$33:$F$37,3,0)," ")</f>
        <v>4599</v>
      </c>
      <c r="R45" s="248">
        <f>IFERROR(VLOOKUP(C45,TD!$B$33:$F$37,4,0)," ")</f>
        <v>20240207</v>
      </c>
      <c r="S45" s="51" t="s">
        <v>185</v>
      </c>
      <c r="T45" s="248" t="str">
        <f>IFERROR(VLOOKUP(S45,TD!$J$34:$K$44,2,0)," ")</f>
        <v>Infraestructura física, mantenimiento y dotación (Sedes construidas, mantenidas reforzadas)</v>
      </c>
      <c r="U45" s="249" t="str">
        <f>CONCATENATE(S45,"-",T45)</f>
        <v>08-Infraestructura física, mantenimiento y dotación (Sedes construidas, mantenidas reforzadas)</v>
      </c>
      <c r="V45" s="51" t="s">
        <v>238</v>
      </c>
      <c r="W45" s="248" t="str">
        <f>IFERROR(VLOOKUP(V45,TD!$N$34:$O$46,2,0)," ")</f>
        <v>Sedes mantenidas</v>
      </c>
      <c r="X45" s="249" t="str">
        <f>CONCATENATE(V45,"_",W45)</f>
        <v>016_Sedes mantenidas</v>
      </c>
      <c r="Y45" s="249" t="str">
        <f>CONCATENATE(U45," ",X45)</f>
        <v>08-Infraestructura física, mantenimiento y dotación (Sedes construidas, mantenidas reforzadas) 016_Sedes mantenidas</v>
      </c>
      <c r="Z45" s="248" t="str">
        <f>CONCATENATE(P45,Q45,R45,S45,V45)</f>
        <v>O23011745992024020708016</v>
      </c>
      <c r="AA45" s="248" t="str">
        <f>IFERROR(VLOOKUP(Y45,TD!$K$47:$L$65,2,0)," ")</f>
        <v>PM/0131/0108/45990160207</v>
      </c>
      <c r="AB45" s="53" t="s">
        <v>120</v>
      </c>
      <c r="AC45" s="250" t="s">
        <v>204</v>
      </c>
    </row>
    <row r="46" spans="2:29" s="28" customFormat="1" ht="56" x14ac:dyDescent="0.35">
      <c r="B46" s="77">
        <v>20250031</v>
      </c>
      <c r="C46" s="50" t="s">
        <v>208</v>
      </c>
      <c r="D46" s="246" t="s">
        <v>164</v>
      </c>
      <c r="E46" s="51" t="s">
        <v>389</v>
      </c>
      <c r="F46" s="246" t="s">
        <v>461</v>
      </c>
      <c r="G46" s="246" t="s">
        <v>155</v>
      </c>
      <c r="H46" s="93">
        <v>80111600</v>
      </c>
      <c r="I46" s="247">
        <v>2</v>
      </c>
      <c r="J46" s="247">
        <v>11</v>
      </c>
      <c r="K46" s="52">
        <v>0</v>
      </c>
      <c r="L46" s="53">
        <f>60500000-8250000-23750000</f>
        <v>28500000</v>
      </c>
      <c r="M46" s="246" t="s">
        <v>464</v>
      </c>
      <c r="N46" s="53" t="s">
        <v>113</v>
      </c>
      <c r="O46" s="51" t="s">
        <v>219</v>
      </c>
      <c r="P46" s="248" t="str">
        <f>IFERROR(VLOOKUP(C46,TD!$B$33:$F$37,2,0)," ")</f>
        <v>O230117</v>
      </c>
      <c r="Q46" s="248" t="str">
        <f>IFERROR(VLOOKUP(C46,TD!$B$33:$F$37,3,0)," ")</f>
        <v>4599</v>
      </c>
      <c r="R46" s="248">
        <f>IFERROR(VLOOKUP(C46,TD!$B$33:$F$37,4,0)," ")</f>
        <v>20240207</v>
      </c>
      <c r="S46" s="51" t="s">
        <v>185</v>
      </c>
      <c r="T46" s="248" t="str">
        <f>IFERROR(VLOOKUP(S46,TD!$J$34:$K$44,2,0)," ")</f>
        <v>Infraestructura física, mantenimiento y dotación (Sedes construidas, mantenidas reforzadas)</v>
      </c>
      <c r="U46" s="249" t="str">
        <f>CONCATENATE(S46,"-",T46)</f>
        <v>08-Infraestructura física, mantenimiento y dotación (Sedes construidas, mantenidas reforzadas)</v>
      </c>
      <c r="V46" s="51" t="s">
        <v>238</v>
      </c>
      <c r="W46" s="248" t="str">
        <f>IFERROR(VLOOKUP(V46,TD!$N$34:$O$46,2,0)," ")</f>
        <v>Sedes mantenidas</v>
      </c>
      <c r="X46" s="249" t="str">
        <f>CONCATENATE(V46,"_",W46)</f>
        <v>016_Sedes mantenidas</v>
      </c>
      <c r="Y46" s="249" t="str">
        <f>CONCATENATE(U46," ",X46)</f>
        <v>08-Infraestructura física, mantenimiento y dotación (Sedes construidas, mantenidas reforzadas) 016_Sedes mantenidas</v>
      </c>
      <c r="Z46" s="248" t="str">
        <f>CONCATENATE(P46,Q46,R46,S46,V46)</f>
        <v>O23011745992024020708016</v>
      </c>
      <c r="AA46" s="248" t="str">
        <f>IFERROR(VLOOKUP(Y46,TD!$K$47:$L$65,2,0)," ")</f>
        <v>PM/0131/0108/45990160207</v>
      </c>
      <c r="AB46" s="53" t="s">
        <v>138</v>
      </c>
      <c r="AC46" s="250" t="s">
        <v>204</v>
      </c>
    </row>
    <row r="47" spans="2:29" s="28" customFormat="1" ht="56" x14ac:dyDescent="0.35">
      <c r="B47" s="77">
        <v>20250032</v>
      </c>
      <c r="C47" s="50" t="s">
        <v>208</v>
      </c>
      <c r="D47" s="246" t="s">
        <v>164</v>
      </c>
      <c r="E47" s="51" t="s">
        <v>389</v>
      </c>
      <c r="F47" s="246" t="s">
        <v>461</v>
      </c>
      <c r="G47" s="246" t="s">
        <v>155</v>
      </c>
      <c r="H47" s="93">
        <v>80111600</v>
      </c>
      <c r="I47" s="247">
        <v>2</v>
      </c>
      <c r="J47" s="247">
        <v>11</v>
      </c>
      <c r="K47" s="52">
        <v>0</v>
      </c>
      <c r="L47" s="53">
        <f>60500000-8250000-33250000</f>
        <v>19000000</v>
      </c>
      <c r="M47" s="246" t="s">
        <v>464</v>
      </c>
      <c r="N47" s="53" t="s">
        <v>113</v>
      </c>
      <c r="O47" s="51" t="s">
        <v>219</v>
      </c>
      <c r="P47" s="248" t="str">
        <f>IFERROR(VLOOKUP(C47,TD!$B$33:$F$37,2,0)," ")</f>
        <v>O230117</v>
      </c>
      <c r="Q47" s="248" t="str">
        <f>IFERROR(VLOOKUP(C47,TD!$B$33:$F$37,3,0)," ")</f>
        <v>4599</v>
      </c>
      <c r="R47" s="248">
        <f>IFERROR(VLOOKUP(C47,TD!$B$33:$F$37,4,0)," ")</f>
        <v>20240207</v>
      </c>
      <c r="S47" s="51" t="s">
        <v>185</v>
      </c>
      <c r="T47" s="248" t="str">
        <f>IFERROR(VLOOKUP(S47,TD!$J$34:$K$44,2,0)," ")</f>
        <v>Infraestructura física, mantenimiento y dotación (Sedes construidas, mantenidas reforzadas)</v>
      </c>
      <c r="U47" s="249" t="str">
        <f>CONCATENATE(S47,"-",T47)</f>
        <v>08-Infraestructura física, mantenimiento y dotación (Sedes construidas, mantenidas reforzadas)</v>
      </c>
      <c r="V47" s="51" t="s">
        <v>238</v>
      </c>
      <c r="W47" s="248" t="str">
        <f>IFERROR(VLOOKUP(V47,TD!$N$34:$O$46,2,0)," ")</f>
        <v>Sedes mantenidas</v>
      </c>
      <c r="X47" s="249" t="str">
        <f>CONCATENATE(V47,"_",W47)</f>
        <v>016_Sedes mantenidas</v>
      </c>
      <c r="Y47" s="249" t="str">
        <f>CONCATENATE(U47," ",X47)</f>
        <v>08-Infraestructura física, mantenimiento y dotación (Sedes construidas, mantenidas reforzadas) 016_Sedes mantenidas</v>
      </c>
      <c r="Z47" s="248" t="str">
        <f>CONCATENATE(P47,Q47,R47,S47,V47)</f>
        <v>O23011745992024020708016</v>
      </c>
      <c r="AA47" s="248" t="str">
        <f>IFERROR(VLOOKUP(Y47,TD!$K$47:$L$65,2,0)," ")</f>
        <v>PM/0131/0108/45990160207</v>
      </c>
      <c r="AB47" s="53" t="s">
        <v>138</v>
      </c>
      <c r="AC47" s="250" t="s">
        <v>204</v>
      </c>
    </row>
    <row r="48" spans="2:29" s="28" customFormat="1" ht="56" x14ac:dyDescent="0.35">
      <c r="B48" s="77">
        <v>20250033</v>
      </c>
      <c r="C48" s="50" t="s">
        <v>208</v>
      </c>
      <c r="D48" s="246" t="s">
        <v>164</v>
      </c>
      <c r="E48" s="51" t="s">
        <v>389</v>
      </c>
      <c r="F48" s="246" t="s">
        <v>462</v>
      </c>
      <c r="G48" s="246" t="s">
        <v>155</v>
      </c>
      <c r="H48" s="93">
        <v>80111600</v>
      </c>
      <c r="I48" s="247">
        <v>2</v>
      </c>
      <c r="J48" s="247">
        <v>11</v>
      </c>
      <c r="K48" s="52">
        <v>0</v>
      </c>
      <c r="L48" s="53">
        <f>71500000-32500000</f>
        <v>39000000</v>
      </c>
      <c r="M48" s="246" t="s">
        <v>464</v>
      </c>
      <c r="N48" s="53" t="s">
        <v>113</v>
      </c>
      <c r="O48" s="51" t="s">
        <v>219</v>
      </c>
      <c r="P48" s="248" t="str">
        <f>IFERROR(VLOOKUP(C48,TD!$B$33:$F$37,2,0)," ")</f>
        <v>O230117</v>
      </c>
      <c r="Q48" s="248" t="str">
        <f>IFERROR(VLOOKUP(C48,TD!$B$33:$F$37,3,0)," ")</f>
        <v>4599</v>
      </c>
      <c r="R48" s="248">
        <f>IFERROR(VLOOKUP(C48,TD!$B$33:$F$37,4,0)," ")</f>
        <v>20240207</v>
      </c>
      <c r="S48" s="51" t="s">
        <v>185</v>
      </c>
      <c r="T48" s="248" t="str">
        <f>IFERROR(VLOOKUP(S48,TD!$J$34:$K$44,2,0)," ")</f>
        <v>Infraestructura física, mantenimiento y dotación (Sedes construidas, mantenidas reforzadas)</v>
      </c>
      <c r="U48" s="249" t="str">
        <f>CONCATENATE(S48,"-",T48)</f>
        <v>08-Infraestructura física, mantenimiento y dotación (Sedes construidas, mantenidas reforzadas)</v>
      </c>
      <c r="V48" s="51" t="s">
        <v>238</v>
      </c>
      <c r="W48" s="248" t="str">
        <f>IFERROR(VLOOKUP(V48,TD!$N$34:$O$46,2,0)," ")</f>
        <v>Sedes mantenidas</v>
      </c>
      <c r="X48" s="249" t="str">
        <f>CONCATENATE(V48,"_",W48)</f>
        <v>016_Sedes mantenidas</v>
      </c>
      <c r="Y48" s="249" t="str">
        <f>CONCATENATE(U48," ",X48)</f>
        <v>08-Infraestructura física, mantenimiento y dotación (Sedes construidas, mantenidas reforzadas) 016_Sedes mantenidas</v>
      </c>
      <c r="Z48" s="248" t="str">
        <f>CONCATENATE(P48,Q48,R48,S48,V48)</f>
        <v>O23011745992024020708016</v>
      </c>
      <c r="AA48" s="248" t="str">
        <f>IFERROR(VLOOKUP(Y48,TD!$K$47:$L$65,2,0)," ")</f>
        <v>PM/0131/0108/45990160207</v>
      </c>
      <c r="AB48" s="53" t="s">
        <v>120</v>
      </c>
      <c r="AC48" s="250" t="s">
        <v>204</v>
      </c>
    </row>
    <row r="49" spans="2:29" s="28" customFormat="1" ht="56" x14ac:dyDescent="0.35">
      <c r="B49" s="77">
        <v>20250034</v>
      </c>
      <c r="C49" s="50" t="s">
        <v>208</v>
      </c>
      <c r="D49" s="246" t="s">
        <v>164</v>
      </c>
      <c r="E49" s="51" t="s">
        <v>389</v>
      </c>
      <c r="F49" s="246" t="s">
        <v>463</v>
      </c>
      <c r="G49" s="246" t="s">
        <v>155</v>
      </c>
      <c r="H49" s="93">
        <v>80111600</v>
      </c>
      <c r="I49" s="247">
        <v>2</v>
      </c>
      <c r="J49" s="247">
        <v>11</v>
      </c>
      <c r="K49" s="52">
        <v>0</v>
      </c>
      <c r="L49" s="53">
        <f>82500000-37500000</f>
        <v>45000000</v>
      </c>
      <c r="M49" s="246" t="s">
        <v>464</v>
      </c>
      <c r="N49" s="53" t="s">
        <v>113</v>
      </c>
      <c r="O49" s="51" t="s">
        <v>219</v>
      </c>
      <c r="P49" s="248" t="str">
        <f>IFERROR(VLOOKUP(C49,TD!$B$33:$F$37,2,0)," ")</f>
        <v>O230117</v>
      </c>
      <c r="Q49" s="248" t="str">
        <f>IFERROR(VLOOKUP(C49,TD!$B$33:$F$37,3,0)," ")</f>
        <v>4599</v>
      </c>
      <c r="R49" s="248">
        <f>IFERROR(VLOOKUP(C49,TD!$B$33:$F$37,4,0)," ")</f>
        <v>20240207</v>
      </c>
      <c r="S49" s="51" t="s">
        <v>185</v>
      </c>
      <c r="T49" s="248" t="str">
        <f>IFERROR(VLOOKUP(S49,TD!$J$34:$K$44,2,0)," ")</f>
        <v>Infraestructura física, mantenimiento y dotación (Sedes construidas, mantenidas reforzadas)</v>
      </c>
      <c r="U49" s="249" t="str">
        <f>CONCATENATE(S49,"-",T49)</f>
        <v>08-Infraestructura física, mantenimiento y dotación (Sedes construidas, mantenidas reforzadas)</v>
      </c>
      <c r="V49" s="51" t="s">
        <v>238</v>
      </c>
      <c r="W49" s="248" t="str">
        <f>IFERROR(VLOOKUP(V49,TD!$N$34:$O$46,2,0)," ")</f>
        <v>Sedes mantenidas</v>
      </c>
      <c r="X49" s="249" t="str">
        <f>CONCATENATE(V49,"_",W49)</f>
        <v>016_Sedes mantenidas</v>
      </c>
      <c r="Y49" s="249" t="str">
        <f>CONCATENATE(U49," ",X49)</f>
        <v>08-Infraestructura física, mantenimiento y dotación (Sedes construidas, mantenidas reforzadas) 016_Sedes mantenidas</v>
      </c>
      <c r="Z49" s="248" t="str">
        <f>CONCATENATE(P49,Q49,R49,S49,V49)</f>
        <v>O23011745992024020708016</v>
      </c>
      <c r="AA49" s="248" t="str">
        <f>IFERROR(VLOOKUP(Y49,TD!$K$47:$L$65,2,0)," ")</f>
        <v>PM/0131/0108/45990160207</v>
      </c>
      <c r="AB49" s="53" t="s">
        <v>120</v>
      </c>
      <c r="AC49" s="250" t="s">
        <v>204</v>
      </c>
    </row>
    <row r="50" spans="2:29" s="28" customFormat="1" ht="56" x14ac:dyDescent="0.35">
      <c r="B50" s="77">
        <v>20250035</v>
      </c>
      <c r="C50" s="50" t="s">
        <v>208</v>
      </c>
      <c r="D50" s="246" t="s">
        <v>46</v>
      </c>
      <c r="E50" s="51" t="s">
        <v>465</v>
      </c>
      <c r="F50" s="246" t="s">
        <v>466</v>
      </c>
      <c r="G50" s="246" t="s">
        <v>155</v>
      </c>
      <c r="H50" s="152">
        <v>80111600</v>
      </c>
      <c r="I50" s="94">
        <v>1</v>
      </c>
      <c r="J50" s="247">
        <v>7</v>
      </c>
      <c r="K50" s="52">
        <v>0</v>
      </c>
      <c r="L50" s="53">
        <f>78000000-23400000</f>
        <v>54600000</v>
      </c>
      <c r="M50" s="246" t="s">
        <v>464</v>
      </c>
      <c r="N50" s="53" t="s">
        <v>113</v>
      </c>
      <c r="O50" s="51" t="s">
        <v>219</v>
      </c>
      <c r="P50" s="248" t="str">
        <f>IFERROR(VLOOKUP(C50,TD!$B$33:$F$37,2,0)," ")</f>
        <v>O230117</v>
      </c>
      <c r="Q50" s="248" t="str">
        <f>IFERROR(VLOOKUP(C50,TD!$B$33:$F$37,3,0)," ")</f>
        <v>4599</v>
      </c>
      <c r="R50" s="248">
        <f>IFERROR(VLOOKUP(C50,TD!$B$33:$F$37,4,0)," ")</f>
        <v>20240207</v>
      </c>
      <c r="S50" s="51" t="s">
        <v>185</v>
      </c>
      <c r="T50" s="248" t="str">
        <f>IFERROR(VLOOKUP(S50,TD!$J$34:$K$44,2,0)," ")</f>
        <v>Infraestructura física, mantenimiento y dotación (Sedes construidas, mantenidas reforzadas)</v>
      </c>
      <c r="U50" s="249" t="str">
        <f>CONCATENATE(S50,"-",T50)</f>
        <v>08-Infraestructura física, mantenimiento y dotación (Sedes construidas, mantenidas reforzadas)</v>
      </c>
      <c r="V50" s="51" t="s">
        <v>238</v>
      </c>
      <c r="W50" s="248" t="str">
        <f>IFERROR(VLOOKUP(V50,TD!$N$34:$O$46,2,0)," ")</f>
        <v>Sedes mantenidas</v>
      </c>
      <c r="X50" s="249" t="str">
        <f>CONCATENATE(V50,"_",W50)</f>
        <v>016_Sedes mantenidas</v>
      </c>
      <c r="Y50" s="249" t="str">
        <f>CONCATENATE(U50," ",X50)</f>
        <v>08-Infraestructura física, mantenimiento y dotación (Sedes construidas, mantenidas reforzadas) 016_Sedes mantenidas</v>
      </c>
      <c r="Z50" s="248" t="str">
        <f>CONCATENATE(P50,Q50,R50,S50,V50)</f>
        <v>O23011745992024020708016</v>
      </c>
      <c r="AA50" s="248" t="str">
        <f>IFERROR(VLOOKUP(Y50,TD!$K$47:$L$65,2,0)," ")</f>
        <v>PM/0131/0108/45990160207</v>
      </c>
      <c r="AB50" s="53" t="s">
        <v>120</v>
      </c>
      <c r="AC50" s="250" t="s">
        <v>204</v>
      </c>
    </row>
    <row r="51" spans="2:29" s="28" customFormat="1" ht="56" x14ac:dyDescent="0.35">
      <c r="B51" s="77">
        <v>20250036</v>
      </c>
      <c r="C51" s="50" t="s">
        <v>208</v>
      </c>
      <c r="D51" s="246" t="s">
        <v>46</v>
      </c>
      <c r="E51" s="51" t="s">
        <v>465</v>
      </c>
      <c r="F51" s="246" t="s">
        <v>467</v>
      </c>
      <c r="G51" s="246" t="s">
        <v>155</v>
      </c>
      <c r="H51" s="152">
        <v>80111600</v>
      </c>
      <c r="I51" s="94">
        <v>1</v>
      </c>
      <c r="J51" s="247">
        <v>10</v>
      </c>
      <c r="K51" s="52">
        <v>0</v>
      </c>
      <c r="L51" s="53">
        <f>93500000-8500000</f>
        <v>85000000</v>
      </c>
      <c r="M51" s="246" t="s">
        <v>464</v>
      </c>
      <c r="N51" s="53" t="s">
        <v>113</v>
      </c>
      <c r="O51" s="51" t="s">
        <v>219</v>
      </c>
      <c r="P51" s="248" t="str">
        <f>IFERROR(VLOOKUP(C51,TD!$B$33:$F$37,2,0)," ")</f>
        <v>O230117</v>
      </c>
      <c r="Q51" s="248" t="str">
        <f>IFERROR(VLOOKUP(C51,TD!$B$33:$F$37,3,0)," ")</f>
        <v>4599</v>
      </c>
      <c r="R51" s="248">
        <f>IFERROR(VLOOKUP(C51,TD!$B$33:$F$37,4,0)," ")</f>
        <v>20240207</v>
      </c>
      <c r="S51" s="51" t="s">
        <v>185</v>
      </c>
      <c r="T51" s="248" t="str">
        <f>IFERROR(VLOOKUP(S51,TD!$J$34:$K$44,2,0)," ")</f>
        <v>Infraestructura física, mantenimiento y dotación (Sedes construidas, mantenidas reforzadas)</v>
      </c>
      <c r="U51" s="249" t="str">
        <f>CONCATENATE(S51,"-",T51)</f>
        <v>08-Infraestructura física, mantenimiento y dotación (Sedes construidas, mantenidas reforzadas)</v>
      </c>
      <c r="V51" s="51" t="s">
        <v>238</v>
      </c>
      <c r="W51" s="248" t="str">
        <f>IFERROR(VLOOKUP(V51,TD!$N$34:$O$46,2,0)," ")</f>
        <v>Sedes mantenidas</v>
      </c>
      <c r="X51" s="249" t="str">
        <f>CONCATENATE(V51,"_",W51)</f>
        <v>016_Sedes mantenidas</v>
      </c>
      <c r="Y51" s="249" t="str">
        <f>CONCATENATE(U51," ",X51)</f>
        <v>08-Infraestructura física, mantenimiento y dotación (Sedes construidas, mantenidas reforzadas) 016_Sedes mantenidas</v>
      </c>
      <c r="Z51" s="248" t="str">
        <f>CONCATENATE(P51,Q51,R51,S51,V51)</f>
        <v>O23011745992024020708016</v>
      </c>
      <c r="AA51" s="248" t="str">
        <f>IFERROR(VLOOKUP(Y51,TD!$K$47:$L$65,2,0)," ")</f>
        <v>PM/0131/0108/45990160207</v>
      </c>
      <c r="AB51" s="53" t="s">
        <v>120</v>
      </c>
      <c r="AC51" s="250" t="s">
        <v>204</v>
      </c>
    </row>
    <row r="52" spans="2:29" s="28" customFormat="1" ht="56" x14ac:dyDescent="0.35">
      <c r="B52" s="77">
        <v>20250037</v>
      </c>
      <c r="C52" s="50" t="s">
        <v>208</v>
      </c>
      <c r="D52" s="246" t="s">
        <v>46</v>
      </c>
      <c r="E52" s="51" t="s">
        <v>465</v>
      </c>
      <c r="F52" s="246" t="s">
        <v>468</v>
      </c>
      <c r="G52" s="246" t="s">
        <v>155</v>
      </c>
      <c r="H52" s="152">
        <v>80111600</v>
      </c>
      <c r="I52" s="94">
        <v>1</v>
      </c>
      <c r="J52" s="247">
        <v>10</v>
      </c>
      <c r="K52" s="52">
        <v>0</v>
      </c>
      <c r="L52" s="53">
        <f>82500000-7500000</f>
        <v>75000000</v>
      </c>
      <c r="M52" s="246" t="s">
        <v>464</v>
      </c>
      <c r="N52" s="53" t="s">
        <v>113</v>
      </c>
      <c r="O52" s="51" t="s">
        <v>219</v>
      </c>
      <c r="P52" s="248" t="str">
        <f>IFERROR(VLOOKUP(C52,TD!$B$33:$F$37,2,0)," ")</f>
        <v>O230117</v>
      </c>
      <c r="Q52" s="248" t="str">
        <f>IFERROR(VLOOKUP(C52,TD!$B$33:$F$37,3,0)," ")</f>
        <v>4599</v>
      </c>
      <c r="R52" s="248">
        <f>IFERROR(VLOOKUP(C52,TD!$B$33:$F$37,4,0)," ")</f>
        <v>20240207</v>
      </c>
      <c r="S52" s="51" t="s">
        <v>185</v>
      </c>
      <c r="T52" s="248" t="str">
        <f>IFERROR(VLOOKUP(S52,TD!$J$34:$K$44,2,0)," ")</f>
        <v>Infraestructura física, mantenimiento y dotación (Sedes construidas, mantenidas reforzadas)</v>
      </c>
      <c r="U52" s="249" t="str">
        <f>CONCATENATE(S52,"-",T52)</f>
        <v>08-Infraestructura física, mantenimiento y dotación (Sedes construidas, mantenidas reforzadas)</v>
      </c>
      <c r="V52" s="51" t="s">
        <v>238</v>
      </c>
      <c r="W52" s="248" t="str">
        <f>IFERROR(VLOOKUP(V52,TD!$N$34:$O$46,2,0)," ")</f>
        <v>Sedes mantenidas</v>
      </c>
      <c r="X52" s="249" t="str">
        <f>CONCATENATE(V52,"_",W52)</f>
        <v>016_Sedes mantenidas</v>
      </c>
      <c r="Y52" s="249" t="str">
        <f>CONCATENATE(U52," ",X52)</f>
        <v>08-Infraestructura física, mantenimiento y dotación (Sedes construidas, mantenidas reforzadas) 016_Sedes mantenidas</v>
      </c>
      <c r="Z52" s="248" t="str">
        <f>CONCATENATE(P52,Q52,R52,S52,V52)</f>
        <v>O23011745992024020708016</v>
      </c>
      <c r="AA52" s="248" t="str">
        <f>IFERROR(VLOOKUP(Y52,TD!$K$47:$L$65,2,0)," ")</f>
        <v>PM/0131/0108/45990160207</v>
      </c>
      <c r="AB52" s="53" t="s">
        <v>120</v>
      </c>
      <c r="AC52" s="250" t="s">
        <v>204</v>
      </c>
    </row>
    <row r="53" spans="2:29" s="28" customFormat="1" ht="70" x14ac:dyDescent="0.35">
      <c r="B53" s="77">
        <v>20250038</v>
      </c>
      <c r="C53" s="50" t="s">
        <v>208</v>
      </c>
      <c r="D53" s="246" t="s">
        <v>46</v>
      </c>
      <c r="E53" s="51" t="s">
        <v>465</v>
      </c>
      <c r="F53" s="246" t="s">
        <v>469</v>
      </c>
      <c r="G53" s="246" t="s">
        <v>155</v>
      </c>
      <c r="H53" s="93">
        <v>80111600</v>
      </c>
      <c r="I53" s="247">
        <v>2</v>
      </c>
      <c r="J53" s="247">
        <v>6</v>
      </c>
      <c r="K53" s="52">
        <v>0</v>
      </c>
      <c r="L53" s="53">
        <f>58500000-19500000</f>
        <v>39000000</v>
      </c>
      <c r="M53" s="246" t="s">
        <v>464</v>
      </c>
      <c r="N53" s="53" t="s">
        <v>113</v>
      </c>
      <c r="O53" s="51" t="s">
        <v>219</v>
      </c>
      <c r="P53" s="248" t="str">
        <f>IFERROR(VLOOKUP(C53,TD!$B$33:$F$37,2,0)," ")</f>
        <v>O230117</v>
      </c>
      <c r="Q53" s="248" t="str">
        <f>IFERROR(VLOOKUP(C53,TD!$B$33:$F$37,3,0)," ")</f>
        <v>4599</v>
      </c>
      <c r="R53" s="248">
        <f>IFERROR(VLOOKUP(C53,TD!$B$33:$F$37,4,0)," ")</f>
        <v>20240207</v>
      </c>
      <c r="S53" s="51" t="s">
        <v>185</v>
      </c>
      <c r="T53" s="248" t="str">
        <f>IFERROR(VLOOKUP(S53,TD!$J$34:$K$44,2,0)," ")</f>
        <v>Infraestructura física, mantenimiento y dotación (Sedes construidas, mantenidas reforzadas)</v>
      </c>
      <c r="U53" s="249" t="str">
        <f>CONCATENATE(S53,"-",T53)</f>
        <v>08-Infraestructura física, mantenimiento y dotación (Sedes construidas, mantenidas reforzadas)</v>
      </c>
      <c r="V53" s="51" t="s">
        <v>238</v>
      </c>
      <c r="W53" s="248" t="str">
        <f>IFERROR(VLOOKUP(V53,TD!$N$34:$O$46,2,0)," ")</f>
        <v>Sedes mantenidas</v>
      </c>
      <c r="X53" s="249" t="str">
        <f>CONCATENATE(V53,"_",W53)</f>
        <v>016_Sedes mantenidas</v>
      </c>
      <c r="Y53" s="249" t="str">
        <f>CONCATENATE(U53," ",X53)</f>
        <v>08-Infraestructura física, mantenimiento y dotación (Sedes construidas, mantenidas reforzadas) 016_Sedes mantenidas</v>
      </c>
      <c r="Z53" s="248" t="str">
        <f>CONCATENATE(P53,Q53,R53,S53,V53)</f>
        <v>O23011745992024020708016</v>
      </c>
      <c r="AA53" s="248" t="str">
        <f>IFERROR(VLOOKUP(Y53,TD!$K$47:$L$65,2,0)," ")</f>
        <v>PM/0131/0108/45990160207</v>
      </c>
      <c r="AB53" s="53" t="s">
        <v>120</v>
      </c>
      <c r="AC53" s="250" t="s">
        <v>204</v>
      </c>
    </row>
    <row r="54" spans="2:29" s="28" customFormat="1" ht="84" x14ac:dyDescent="0.35">
      <c r="B54" s="77">
        <v>20250039</v>
      </c>
      <c r="C54" s="50" t="s">
        <v>208</v>
      </c>
      <c r="D54" s="246" t="s">
        <v>46</v>
      </c>
      <c r="E54" s="51" t="s">
        <v>465</v>
      </c>
      <c r="F54" s="246" t="s">
        <v>469</v>
      </c>
      <c r="G54" s="246" t="s">
        <v>155</v>
      </c>
      <c r="H54" s="93">
        <v>80111600</v>
      </c>
      <c r="I54" s="247">
        <v>2</v>
      </c>
      <c r="J54" s="247">
        <v>6</v>
      </c>
      <c r="K54" s="52">
        <v>0</v>
      </c>
      <c r="L54" s="53">
        <f>58500000-19500000</f>
        <v>39000000</v>
      </c>
      <c r="M54" s="246" t="s">
        <v>464</v>
      </c>
      <c r="N54" s="53" t="s">
        <v>113</v>
      </c>
      <c r="O54" s="51" t="s">
        <v>219</v>
      </c>
      <c r="P54" s="248" t="str">
        <f>IFERROR(VLOOKUP(C54,TD!$B$33:$F$37,2,0)," ")</f>
        <v>O230117</v>
      </c>
      <c r="Q54" s="248" t="str">
        <f>IFERROR(VLOOKUP(C54,TD!$B$33:$F$37,3,0)," ")</f>
        <v>4599</v>
      </c>
      <c r="R54" s="248">
        <f>IFERROR(VLOOKUP(C54,TD!$B$33:$F$37,4,0)," ")</f>
        <v>20240207</v>
      </c>
      <c r="S54" s="51" t="s">
        <v>185</v>
      </c>
      <c r="T54" s="248" t="str">
        <f>IFERROR(VLOOKUP(S54,TD!$J$34:$K$44,2,0)," ")</f>
        <v>Infraestructura física, mantenimiento y dotación (Sedes construidas, mantenidas reforzadas)</v>
      </c>
      <c r="U54" s="249" t="str">
        <f>CONCATENATE(S54,"-",T54)</f>
        <v>08-Infraestructura física, mantenimiento y dotación (Sedes construidas, mantenidas reforzadas)</v>
      </c>
      <c r="V54" s="51" t="s">
        <v>238</v>
      </c>
      <c r="W54" s="248" t="str">
        <f>IFERROR(VLOOKUP(V54,TD!$N$34:$O$46,2,0)," ")</f>
        <v>Sedes mantenidas</v>
      </c>
      <c r="X54" s="249" t="str">
        <f>CONCATENATE(V54,"_",W54)</f>
        <v>016_Sedes mantenidas</v>
      </c>
      <c r="Y54" s="249" t="str">
        <f>CONCATENATE(U54," ",X54)</f>
        <v>08-Infraestructura física, mantenimiento y dotación (Sedes construidas, mantenidas reforzadas) 016_Sedes mantenidas</v>
      </c>
      <c r="Z54" s="248" t="str">
        <f>CONCATENATE(P54,Q54,R54,S54,V54)</f>
        <v>O23011745992024020708016</v>
      </c>
      <c r="AA54" s="248" t="str">
        <f>IFERROR(VLOOKUP(Y54,TD!$K$47:$L$65,2,0)," ")</f>
        <v>PM/0131/0108/45990160207</v>
      </c>
      <c r="AB54" s="53" t="s">
        <v>120</v>
      </c>
      <c r="AC54" s="250" t="s">
        <v>204</v>
      </c>
    </row>
    <row r="55" spans="2:29" s="28" customFormat="1" ht="56" x14ac:dyDescent="0.35">
      <c r="B55" s="77">
        <v>20250040</v>
      </c>
      <c r="C55" s="50" t="s">
        <v>208</v>
      </c>
      <c r="D55" s="246" t="s">
        <v>46</v>
      </c>
      <c r="E55" s="51" t="s">
        <v>465</v>
      </c>
      <c r="F55" s="246" t="s">
        <v>469</v>
      </c>
      <c r="G55" s="246" t="s">
        <v>155</v>
      </c>
      <c r="H55" s="93">
        <v>80111600</v>
      </c>
      <c r="I55" s="247">
        <v>2</v>
      </c>
      <c r="J55" s="247">
        <v>6</v>
      </c>
      <c r="K55" s="52">
        <v>0</v>
      </c>
      <c r="L55" s="53">
        <f>58500000-19500000</f>
        <v>39000000</v>
      </c>
      <c r="M55" s="246" t="s">
        <v>464</v>
      </c>
      <c r="N55" s="53" t="s">
        <v>113</v>
      </c>
      <c r="O55" s="51" t="s">
        <v>219</v>
      </c>
      <c r="P55" s="248" t="str">
        <f>IFERROR(VLOOKUP(C55,TD!$B$33:$F$37,2,0)," ")</f>
        <v>O230117</v>
      </c>
      <c r="Q55" s="248" t="str">
        <f>IFERROR(VLOOKUP(C55,TD!$B$33:$F$37,3,0)," ")</f>
        <v>4599</v>
      </c>
      <c r="R55" s="248">
        <f>IFERROR(VLOOKUP(C55,TD!$B$33:$F$37,4,0)," ")</f>
        <v>20240207</v>
      </c>
      <c r="S55" s="51" t="s">
        <v>185</v>
      </c>
      <c r="T55" s="248" t="str">
        <f>IFERROR(VLOOKUP(S55,TD!$J$34:$K$44,2,0)," ")</f>
        <v>Infraestructura física, mantenimiento y dotación (Sedes construidas, mantenidas reforzadas)</v>
      </c>
      <c r="U55" s="249" t="str">
        <f>CONCATENATE(S55,"-",T55)</f>
        <v>08-Infraestructura física, mantenimiento y dotación (Sedes construidas, mantenidas reforzadas)</v>
      </c>
      <c r="V55" s="51" t="s">
        <v>238</v>
      </c>
      <c r="W55" s="248" t="str">
        <f>IFERROR(VLOOKUP(V55,TD!$N$34:$O$46,2,0)," ")</f>
        <v>Sedes mantenidas</v>
      </c>
      <c r="X55" s="249" t="str">
        <f>CONCATENATE(V55,"_",W55)</f>
        <v>016_Sedes mantenidas</v>
      </c>
      <c r="Y55" s="249" t="str">
        <f>CONCATENATE(U55," ",X55)</f>
        <v>08-Infraestructura física, mantenimiento y dotación (Sedes construidas, mantenidas reforzadas) 016_Sedes mantenidas</v>
      </c>
      <c r="Z55" s="248" t="str">
        <f>CONCATENATE(P55,Q55,R55,S55,V55)</f>
        <v>O23011745992024020708016</v>
      </c>
      <c r="AA55" s="248" t="str">
        <f>IFERROR(VLOOKUP(Y55,TD!$K$47:$L$65,2,0)," ")</f>
        <v>PM/0131/0108/45990160207</v>
      </c>
      <c r="AB55" s="53" t="s">
        <v>120</v>
      </c>
      <c r="AC55" s="250" t="s">
        <v>204</v>
      </c>
    </row>
    <row r="56" spans="2:29" s="28" customFormat="1" ht="70" x14ac:dyDescent="0.35">
      <c r="B56" s="77">
        <v>20250041</v>
      </c>
      <c r="C56" s="50" t="s">
        <v>208</v>
      </c>
      <c r="D56" s="246" t="s">
        <v>46</v>
      </c>
      <c r="E56" s="51" t="s">
        <v>465</v>
      </c>
      <c r="F56" s="246" t="s">
        <v>469</v>
      </c>
      <c r="G56" s="246" t="s">
        <v>155</v>
      </c>
      <c r="H56" s="93">
        <v>80111600</v>
      </c>
      <c r="I56" s="247">
        <v>3</v>
      </c>
      <c r="J56" s="247">
        <v>4</v>
      </c>
      <c r="K56" s="52">
        <v>0</v>
      </c>
      <c r="L56" s="53">
        <f>52000000-13000000-13000000</f>
        <v>26000000</v>
      </c>
      <c r="M56" s="246" t="s">
        <v>464</v>
      </c>
      <c r="N56" s="53" t="s">
        <v>113</v>
      </c>
      <c r="O56" s="51" t="s">
        <v>219</v>
      </c>
      <c r="P56" s="248" t="str">
        <f>IFERROR(VLOOKUP(C56,TD!$B$33:$F$37,2,0)," ")</f>
        <v>O230117</v>
      </c>
      <c r="Q56" s="248" t="str">
        <f>IFERROR(VLOOKUP(C56,TD!$B$33:$F$37,3,0)," ")</f>
        <v>4599</v>
      </c>
      <c r="R56" s="248">
        <f>IFERROR(VLOOKUP(C56,TD!$B$33:$F$37,4,0)," ")</f>
        <v>20240207</v>
      </c>
      <c r="S56" s="51" t="s">
        <v>185</v>
      </c>
      <c r="T56" s="248" t="str">
        <f>IFERROR(VLOOKUP(S56,TD!$J$34:$K$44,2,0)," ")</f>
        <v>Infraestructura física, mantenimiento y dotación (Sedes construidas, mantenidas reforzadas)</v>
      </c>
      <c r="U56" s="249" t="str">
        <f>CONCATENATE(S56,"-",T56)</f>
        <v>08-Infraestructura física, mantenimiento y dotación (Sedes construidas, mantenidas reforzadas)</v>
      </c>
      <c r="V56" s="51" t="s">
        <v>238</v>
      </c>
      <c r="W56" s="248" t="str">
        <f>IFERROR(VLOOKUP(V56,TD!$N$34:$O$46,2,0)," ")</f>
        <v>Sedes mantenidas</v>
      </c>
      <c r="X56" s="249" t="str">
        <f>CONCATENATE(V56,"_",W56)</f>
        <v>016_Sedes mantenidas</v>
      </c>
      <c r="Y56" s="249" t="str">
        <f>CONCATENATE(U56," ",X56)</f>
        <v>08-Infraestructura física, mantenimiento y dotación (Sedes construidas, mantenidas reforzadas) 016_Sedes mantenidas</v>
      </c>
      <c r="Z56" s="248" t="str">
        <f>CONCATENATE(P56,Q56,R56,S56,V56)</f>
        <v>O23011745992024020708016</v>
      </c>
      <c r="AA56" s="248" t="str">
        <f>IFERROR(VLOOKUP(Y56,TD!$K$47:$L$65,2,0)," ")</f>
        <v>PM/0131/0108/45990160207</v>
      </c>
      <c r="AB56" s="53" t="s">
        <v>120</v>
      </c>
      <c r="AC56" s="250" t="s">
        <v>204</v>
      </c>
    </row>
    <row r="57" spans="2:29" s="28" customFormat="1" ht="70" x14ac:dyDescent="0.35">
      <c r="B57" s="77">
        <v>20250042</v>
      </c>
      <c r="C57" s="50" t="s">
        <v>208</v>
      </c>
      <c r="D57" s="246" t="s">
        <v>46</v>
      </c>
      <c r="E57" s="51" t="s">
        <v>465</v>
      </c>
      <c r="F57" s="246" t="s">
        <v>469</v>
      </c>
      <c r="G57" s="246" t="s">
        <v>155</v>
      </c>
      <c r="H57" s="93">
        <v>80111600</v>
      </c>
      <c r="I57" s="247">
        <v>1</v>
      </c>
      <c r="J57" s="247">
        <v>10</v>
      </c>
      <c r="K57" s="52">
        <v>0</v>
      </c>
      <c r="L57" s="53">
        <v>19493333</v>
      </c>
      <c r="M57" s="246" t="s">
        <v>464</v>
      </c>
      <c r="N57" s="53" t="s">
        <v>113</v>
      </c>
      <c r="O57" s="51" t="s">
        <v>219</v>
      </c>
      <c r="P57" s="248" t="str">
        <f>IFERROR(VLOOKUP(C57,TD!$B$33:$F$37,2,0)," ")</f>
        <v>O230117</v>
      </c>
      <c r="Q57" s="248" t="str">
        <f>IFERROR(VLOOKUP(C57,TD!$B$33:$F$37,3,0)," ")</f>
        <v>4599</v>
      </c>
      <c r="R57" s="248">
        <f>IFERROR(VLOOKUP(C57,TD!$B$33:$F$37,4,0)," ")</f>
        <v>20240207</v>
      </c>
      <c r="S57" s="51" t="s">
        <v>185</v>
      </c>
      <c r="T57" s="248" t="str">
        <f>IFERROR(VLOOKUP(S57,TD!$J$34:$K$44,2,0)," ")</f>
        <v>Infraestructura física, mantenimiento y dotación (Sedes construidas, mantenidas reforzadas)</v>
      </c>
      <c r="U57" s="249" t="str">
        <f>CONCATENATE(S57,"-",T57)</f>
        <v>08-Infraestructura física, mantenimiento y dotación (Sedes construidas, mantenidas reforzadas)</v>
      </c>
      <c r="V57" s="51" t="s">
        <v>238</v>
      </c>
      <c r="W57" s="248" t="str">
        <f>IFERROR(VLOOKUP(V57,TD!$N$34:$O$46,2,0)," ")</f>
        <v>Sedes mantenidas</v>
      </c>
      <c r="X57" s="249" t="str">
        <f>CONCATENATE(V57,"_",W57)</f>
        <v>016_Sedes mantenidas</v>
      </c>
      <c r="Y57" s="249" t="str">
        <f>CONCATENATE(U57," ",X57)</f>
        <v>08-Infraestructura física, mantenimiento y dotación (Sedes construidas, mantenidas reforzadas) 016_Sedes mantenidas</v>
      </c>
      <c r="Z57" s="248" t="str">
        <f>CONCATENATE(P57,Q57,R57,S57,V57)</f>
        <v>O23011745992024020708016</v>
      </c>
      <c r="AA57" s="248" t="str">
        <f>IFERROR(VLOOKUP(Y57,TD!$K$47:$L$65,2,0)," ")</f>
        <v>PM/0131/0108/45990160207</v>
      </c>
      <c r="AB57" s="53" t="s">
        <v>120</v>
      </c>
      <c r="AC57" s="250" t="s">
        <v>204</v>
      </c>
    </row>
    <row r="58" spans="2:29" s="28" customFormat="1" ht="84" x14ac:dyDescent="0.35">
      <c r="B58" s="77">
        <v>20250043</v>
      </c>
      <c r="C58" s="50" t="s">
        <v>208</v>
      </c>
      <c r="D58" s="246" t="s">
        <v>46</v>
      </c>
      <c r="E58" s="51" t="s">
        <v>465</v>
      </c>
      <c r="F58" s="246" t="s">
        <v>811</v>
      </c>
      <c r="G58" s="246" t="s">
        <v>155</v>
      </c>
      <c r="H58" s="93">
        <v>80111600</v>
      </c>
      <c r="I58" s="247">
        <v>3</v>
      </c>
      <c r="J58" s="247">
        <v>4</v>
      </c>
      <c r="K58" s="52">
        <v>0</v>
      </c>
      <c r="L58" s="53">
        <f>38500000-10000000-8500000</f>
        <v>20000000</v>
      </c>
      <c r="M58" s="246" t="s">
        <v>464</v>
      </c>
      <c r="N58" s="53" t="s">
        <v>113</v>
      </c>
      <c r="O58" s="51" t="s">
        <v>219</v>
      </c>
      <c r="P58" s="248" t="str">
        <f>IFERROR(VLOOKUP(C58,TD!$B$33:$F$37,2,0)," ")</f>
        <v>O230117</v>
      </c>
      <c r="Q58" s="248" t="str">
        <f>IFERROR(VLOOKUP(C58,TD!$B$33:$F$37,3,0)," ")</f>
        <v>4599</v>
      </c>
      <c r="R58" s="248">
        <f>IFERROR(VLOOKUP(C58,TD!$B$33:$F$37,4,0)," ")</f>
        <v>20240207</v>
      </c>
      <c r="S58" s="51" t="s">
        <v>185</v>
      </c>
      <c r="T58" s="248" t="str">
        <f>IFERROR(VLOOKUP(S58,TD!$J$34:$K$44,2,0)," ")</f>
        <v>Infraestructura física, mantenimiento y dotación (Sedes construidas, mantenidas reforzadas)</v>
      </c>
      <c r="U58" s="249" t="str">
        <f>CONCATENATE(S58,"-",T58)</f>
        <v>08-Infraestructura física, mantenimiento y dotación (Sedes construidas, mantenidas reforzadas)</v>
      </c>
      <c r="V58" s="51" t="s">
        <v>238</v>
      </c>
      <c r="W58" s="248" t="str">
        <f>IFERROR(VLOOKUP(V58,TD!$N$34:$O$46,2,0)," ")</f>
        <v>Sedes mantenidas</v>
      </c>
      <c r="X58" s="249" t="str">
        <f>CONCATENATE(V58,"_",W58)</f>
        <v>016_Sedes mantenidas</v>
      </c>
      <c r="Y58" s="249" t="str">
        <f>CONCATENATE(U58," ",X58)</f>
        <v>08-Infraestructura física, mantenimiento y dotación (Sedes construidas, mantenidas reforzadas) 016_Sedes mantenidas</v>
      </c>
      <c r="Z58" s="248" t="str">
        <f>CONCATENATE(P58,Q58,R58,S58,V58)</f>
        <v>O23011745992024020708016</v>
      </c>
      <c r="AA58" s="248" t="str">
        <f>IFERROR(VLOOKUP(Y58,TD!$K$47:$L$65,2,0)," ")</f>
        <v>PM/0131/0108/45990160207</v>
      </c>
      <c r="AB58" s="53" t="s">
        <v>120</v>
      </c>
      <c r="AC58" s="250" t="s">
        <v>204</v>
      </c>
    </row>
    <row r="59" spans="2:29" s="28" customFormat="1" ht="70" x14ac:dyDescent="0.35">
      <c r="B59" s="77">
        <v>20250044</v>
      </c>
      <c r="C59" s="50" t="s">
        <v>208</v>
      </c>
      <c r="D59" s="246" t="s">
        <v>46</v>
      </c>
      <c r="E59" s="51" t="s">
        <v>465</v>
      </c>
      <c r="F59" s="246" t="s">
        <v>470</v>
      </c>
      <c r="G59" s="246" t="s">
        <v>156</v>
      </c>
      <c r="H59" s="93">
        <v>80111600</v>
      </c>
      <c r="I59" s="247">
        <v>2</v>
      </c>
      <c r="J59" s="247">
        <v>6</v>
      </c>
      <c r="K59" s="52">
        <v>0</v>
      </c>
      <c r="L59" s="53">
        <f>35500000-15700000</f>
        <v>19800000</v>
      </c>
      <c r="M59" s="246" t="s">
        <v>464</v>
      </c>
      <c r="N59" s="53" t="s">
        <v>113</v>
      </c>
      <c r="O59" s="51" t="s">
        <v>219</v>
      </c>
      <c r="P59" s="248" t="str">
        <f>IFERROR(VLOOKUP(C59,TD!$B$33:$F$37,2,0)," ")</f>
        <v>O230117</v>
      </c>
      <c r="Q59" s="248" t="str">
        <f>IFERROR(VLOOKUP(C59,TD!$B$33:$F$37,3,0)," ")</f>
        <v>4599</v>
      </c>
      <c r="R59" s="248">
        <f>IFERROR(VLOOKUP(C59,TD!$B$33:$F$37,4,0)," ")</f>
        <v>20240207</v>
      </c>
      <c r="S59" s="51" t="s">
        <v>185</v>
      </c>
      <c r="T59" s="248" t="str">
        <f>IFERROR(VLOOKUP(S59,TD!$J$34:$K$44,2,0)," ")</f>
        <v>Infraestructura física, mantenimiento y dotación (Sedes construidas, mantenidas reforzadas)</v>
      </c>
      <c r="U59" s="249" t="str">
        <f>CONCATENATE(S59,"-",T59)</f>
        <v>08-Infraestructura física, mantenimiento y dotación (Sedes construidas, mantenidas reforzadas)</v>
      </c>
      <c r="V59" s="51" t="s">
        <v>238</v>
      </c>
      <c r="W59" s="248" t="str">
        <f>IFERROR(VLOOKUP(V59,TD!$N$34:$O$46,2,0)," ")</f>
        <v>Sedes mantenidas</v>
      </c>
      <c r="X59" s="249" t="str">
        <f>CONCATENATE(V59,"_",W59)</f>
        <v>016_Sedes mantenidas</v>
      </c>
      <c r="Y59" s="249" t="str">
        <f>CONCATENATE(U59," ",X59)</f>
        <v>08-Infraestructura física, mantenimiento y dotación (Sedes construidas, mantenidas reforzadas) 016_Sedes mantenidas</v>
      </c>
      <c r="Z59" s="248" t="str">
        <f>CONCATENATE(P59,Q59,R59,S59,V59)</f>
        <v>O23011745992024020708016</v>
      </c>
      <c r="AA59" s="248" t="str">
        <f>IFERROR(VLOOKUP(Y59,TD!$K$47:$L$65,2,0)," ")</f>
        <v>PM/0131/0108/45990160207</v>
      </c>
      <c r="AB59" s="53" t="s">
        <v>138</v>
      </c>
      <c r="AC59" s="250" t="s">
        <v>204</v>
      </c>
    </row>
    <row r="60" spans="2:29" s="28" customFormat="1" ht="98" x14ac:dyDescent="0.35">
      <c r="B60" s="77">
        <v>20250045</v>
      </c>
      <c r="C60" s="50" t="s">
        <v>208</v>
      </c>
      <c r="D60" s="246" t="s">
        <v>46</v>
      </c>
      <c r="E60" s="51" t="s">
        <v>465</v>
      </c>
      <c r="F60" s="246" t="s">
        <v>812</v>
      </c>
      <c r="G60" s="246" t="s">
        <v>155</v>
      </c>
      <c r="H60" s="93">
        <v>80111600</v>
      </c>
      <c r="I60" s="247">
        <v>2</v>
      </c>
      <c r="J60" s="247">
        <v>8</v>
      </c>
      <c r="K60" s="52">
        <v>0</v>
      </c>
      <c r="L60" s="53">
        <v>48000000</v>
      </c>
      <c r="M60" s="246" t="s">
        <v>464</v>
      </c>
      <c r="N60" s="53" t="s">
        <v>113</v>
      </c>
      <c r="O60" s="51" t="s">
        <v>219</v>
      </c>
      <c r="P60" s="248" t="str">
        <f>IFERROR(VLOOKUP(C60,TD!$B$33:$F$37,2,0)," ")</f>
        <v>O230117</v>
      </c>
      <c r="Q60" s="248" t="str">
        <f>IFERROR(VLOOKUP(C60,TD!$B$33:$F$37,3,0)," ")</f>
        <v>4599</v>
      </c>
      <c r="R60" s="248">
        <f>IFERROR(VLOOKUP(C60,TD!$B$33:$F$37,4,0)," ")</f>
        <v>20240207</v>
      </c>
      <c r="S60" s="51" t="s">
        <v>185</v>
      </c>
      <c r="T60" s="248" t="str">
        <f>IFERROR(VLOOKUP(S60,TD!$J$34:$K$44,2,0)," ")</f>
        <v>Infraestructura física, mantenimiento y dotación (Sedes construidas, mantenidas reforzadas)</v>
      </c>
      <c r="U60" s="249" t="str">
        <f>CONCATENATE(S60,"-",T60)</f>
        <v>08-Infraestructura física, mantenimiento y dotación (Sedes construidas, mantenidas reforzadas)</v>
      </c>
      <c r="V60" s="51" t="s">
        <v>238</v>
      </c>
      <c r="W60" s="248" t="str">
        <f>IFERROR(VLOOKUP(V60,TD!$N$34:$O$46,2,0)," ")</f>
        <v>Sedes mantenidas</v>
      </c>
      <c r="X60" s="249" t="str">
        <f>CONCATENATE(V60,"_",W60)</f>
        <v>016_Sedes mantenidas</v>
      </c>
      <c r="Y60" s="249" t="str">
        <f>CONCATENATE(U60," ",X60)</f>
        <v>08-Infraestructura física, mantenimiento y dotación (Sedes construidas, mantenidas reforzadas) 016_Sedes mantenidas</v>
      </c>
      <c r="Z60" s="248" t="str">
        <f>CONCATENATE(P60,Q60,R60,S60,V60)</f>
        <v>O23011745992024020708016</v>
      </c>
      <c r="AA60" s="248" t="str">
        <f>IFERROR(VLOOKUP(Y60,TD!$K$47:$L$65,2,0)," ")</f>
        <v>PM/0131/0108/45990160207</v>
      </c>
      <c r="AB60" s="53" t="s">
        <v>120</v>
      </c>
      <c r="AC60" s="250" t="s">
        <v>204</v>
      </c>
    </row>
    <row r="61" spans="2:29" s="28" customFormat="1" ht="98" x14ac:dyDescent="0.35">
      <c r="B61" s="77">
        <v>20250046</v>
      </c>
      <c r="C61" s="50" t="s">
        <v>208</v>
      </c>
      <c r="D61" s="246" t="s">
        <v>36</v>
      </c>
      <c r="E61" s="51" t="s">
        <v>378</v>
      </c>
      <c r="F61" s="246" t="s">
        <v>471</v>
      </c>
      <c r="G61" s="246" t="s">
        <v>155</v>
      </c>
      <c r="H61" s="93">
        <v>80111600</v>
      </c>
      <c r="I61" s="247">
        <v>2</v>
      </c>
      <c r="J61" s="247">
        <v>9</v>
      </c>
      <c r="K61" s="52">
        <v>0</v>
      </c>
      <c r="L61" s="53">
        <v>33781662</v>
      </c>
      <c r="M61" s="246" t="s">
        <v>464</v>
      </c>
      <c r="N61" s="53" t="s">
        <v>113</v>
      </c>
      <c r="O61" s="51" t="s">
        <v>211</v>
      </c>
      <c r="P61" s="248" t="str">
        <f>IFERROR(VLOOKUP(C61,TD!$B$33:$F$37,2,0)," ")</f>
        <v>O230117</v>
      </c>
      <c r="Q61" s="248" t="str">
        <f>IFERROR(VLOOKUP(C61,TD!$B$33:$F$37,3,0)," ")</f>
        <v>4599</v>
      </c>
      <c r="R61" s="248">
        <f>IFERROR(VLOOKUP(C61,TD!$B$33:$F$37,4,0)," ")</f>
        <v>20240207</v>
      </c>
      <c r="S61" s="51" t="s">
        <v>193</v>
      </c>
      <c r="T61" s="248" t="str">
        <f>IFERROR(VLOOKUP(S61,TD!$J$34:$K$44,2,0)," ")</f>
        <v>Servicios para la planeación y sistemas de gestión y comunicación estratégica</v>
      </c>
      <c r="U61" s="249" t="str">
        <f>CONCATENATE(S61,"-",T61)</f>
        <v>13-Servicios para la planeación y sistemas de gestión y comunicación estratégica</v>
      </c>
      <c r="V61" s="51" t="s">
        <v>240</v>
      </c>
      <c r="W61" s="248" t="str">
        <f>IFERROR(VLOOKUP(V61,TD!$N$34:$O$46,2,0)," ")</f>
        <v>Servicio de asistencia técnica</v>
      </c>
      <c r="X61" s="249" t="str">
        <f>CONCATENATE(V61,"_",W61)</f>
        <v>031_Servicio de asistencia técnica</v>
      </c>
      <c r="Y61" s="249" t="str">
        <f>CONCATENATE(U61," ",X61)</f>
        <v>13-Servicios para la planeación y sistemas de gestión y comunicación estratégica 031_Servicio de asistencia técnica</v>
      </c>
      <c r="Z61" s="248" t="str">
        <f>CONCATENATE(P61,Q61,R61,S61,V61)</f>
        <v>O23011745992024020713031</v>
      </c>
      <c r="AA61" s="248" t="str">
        <f>IFERROR(VLOOKUP(Y61,TD!$K$47:$L$65,2,0)," ")</f>
        <v>PM/0131/0113/45990310207</v>
      </c>
      <c r="AB61" s="53" t="s">
        <v>138</v>
      </c>
      <c r="AC61" s="250" t="s">
        <v>204</v>
      </c>
    </row>
    <row r="62" spans="2:29" s="28" customFormat="1" ht="84" x14ac:dyDescent="0.35">
      <c r="B62" s="77">
        <v>20250047</v>
      </c>
      <c r="C62" s="50" t="s">
        <v>208</v>
      </c>
      <c r="D62" s="246" t="s">
        <v>36</v>
      </c>
      <c r="E62" s="51" t="s">
        <v>378</v>
      </c>
      <c r="F62" s="246" t="s">
        <v>800</v>
      </c>
      <c r="G62" s="246" t="s">
        <v>155</v>
      </c>
      <c r="H62" s="93">
        <v>80111600</v>
      </c>
      <c r="I62" s="247">
        <v>3</v>
      </c>
      <c r="J62" s="247">
        <v>10</v>
      </c>
      <c r="K62" s="52">
        <v>0</v>
      </c>
      <c r="L62" s="53">
        <v>65000000</v>
      </c>
      <c r="M62" s="246" t="s">
        <v>464</v>
      </c>
      <c r="N62" s="53" t="s">
        <v>113</v>
      </c>
      <c r="O62" s="51" t="s">
        <v>211</v>
      </c>
      <c r="P62" s="248" t="str">
        <f>IFERROR(VLOOKUP(C62,TD!$B$33:$F$37,2,0)," ")</f>
        <v>O230117</v>
      </c>
      <c r="Q62" s="248" t="str">
        <f>IFERROR(VLOOKUP(C62,TD!$B$33:$F$37,3,0)," ")</f>
        <v>4599</v>
      </c>
      <c r="R62" s="248">
        <f>IFERROR(VLOOKUP(C62,TD!$B$33:$F$37,4,0)," ")</f>
        <v>20240207</v>
      </c>
      <c r="S62" s="51" t="s">
        <v>193</v>
      </c>
      <c r="T62" s="248" t="str">
        <f>IFERROR(VLOOKUP(S62,TD!$J$34:$K$44,2,0)," ")</f>
        <v>Servicios para la planeación y sistemas de gestión y comunicación estratégica</v>
      </c>
      <c r="U62" s="249" t="str">
        <f>CONCATENATE(S62,"-",T62)</f>
        <v>13-Servicios para la planeación y sistemas de gestión y comunicación estratégica</v>
      </c>
      <c r="V62" s="51" t="s">
        <v>240</v>
      </c>
      <c r="W62" s="248" t="str">
        <f>IFERROR(VLOOKUP(V62,TD!$N$34:$O$46,2,0)," ")</f>
        <v>Servicio de asistencia técnica</v>
      </c>
      <c r="X62" s="249" t="str">
        <f>CONCATENATE(V62,"_",W62)</f>
        <v>031_Servicio de asistencia técnica</v>
      </c>
      <c r="Y62" s="249" t="str">
        <f>CONCATENATE(U62," ",X62)</f>
        <v>13-Servicios para la planeación y sistemas de gestión y comunicación estratégica 031_Servicio de asistencia técnica</v>
      </c>
      <c r="Z62" s="248" t="str">
        <f>CONCATENATE(P62,Q62,R62,S62,V62)</f>
        <v>O23011745992024020713031</v>
      </c>
      <c r="AA62" s="248" t="str">
        <f>IFERROR(VLOOKUP(Y62,TD!$K$47:$L$65,2,0)," ")</f>
        <v>PM/0131/0113/45990310207</v>
      </c>
      <c r="AB62" s="53" t="s">
        <v>138</v>
      </c>
      <c r="AC62" s="250" t="s">
        <v>204</v>
      </c>
    </row>
    <row r="63" spans="2:29" s="28" customFormat="1" ht="56" x14ac:dyDescent="0.35">
      <c r="B63" s="77">
        <v>20250048</v>
      </c>
      <c r="C63" s="50" t="s">
        <v>208</v>
      </c>
      <c r="D63" s="246" t="s">
        <v>36</v>
      </c>
      <c r="E63" s="51" t="s">
        <v>378</v>
      </c>
      <c r="F63" s="246" t="s">
        <v>379</v>
      </c>
      <c r="G63" s="246" t="s">
        <v>156</v>
      </c>
      <c r="H63" s="93">
        <v>80111600</v>
      </c>
      <c r="I63" s="247">
        <v>2</v>
      </c>
      <c r="J63" s="247">
        <v>9</v>
      </c>
      <c r="K63" s="52">
        <v>0</v>
      </c>
      <c r="L63" s="53">
        <v>40417344</v>
      </c>
      <c r="M63" s="246" t="s">
        <v>464</v>
      </c>
      <c r="N63" s="53" t="s">
        <v>113</v>
      </c>
      <c r="O63" s="51" t="s">
        <v>211</v>
      </c>
      <c r="P63" s="248" t="str">
        <f>IFERROR(VLOOKUP(C63,TD!$B$33:$F$37,2,0)," ")</f>
        <v>O230117</v>
      </c>
      <c r="Q63" s="248" t="str">
        <f>IFERROR(VLOOKUP(C63,TD!$B$33:$F$37,3,0)," ")</f>
        <v>4599</v>
      </c>
      <c r="R63" s="248">
        <f>IFERROR(VLOOKUP(C63,TD!$B$33:$F$37,4,0)," ")</f>
        <v>20240207</v>
      </c>
      <c r="S63" s="51" t="s">
        <v>193</v>
      </c>
      <c r="T63" s="248" t="str">
        <f>IFERROR(VLOOKUP(S63,TD!$J$34:$K$44,2,0)," ")</f>
        <v>Servicios para la planeación y sistemas de gestión y comunicación estratégica</v>
      </c>
      <c r="U63" s="249" t="str">
        <f>CONCATENATE(S63,"-",T63)</f>
        <v>13-Servicios para la planeación y sistemas de gestión y comunicación estratégica</v>
      </c>
      <c r="V63" s="51" t="s">
        <v>240</v>
      </c>
      <c r="W63" s="248" t="str">
        <f>IFERROR(VLOOKUP(V63,TD!$N$34:$O$46,2,0)," ")</f>
        <v>Servicio de asistencia técnica</v>
      </c>
      <c r="X63" s="249" t="str">
        <f>CONCATENATE(V63,"_",W63)</f>
        <v>031_Servicio de asistencia técnica</v>
      </c>
      <c r="Y63" s="249" t="str">
        <f>CONCATENATE(U63," ",X63)</f>
        <v>13-Servicios para la planeación y sistemas de gestión y comunicación estratégica 031_Servicio de asistencia técnica</v>
      </c>
      <c r="Z63" s="248" t="str">
        <f>CONCATENATE(P63,Q63,R63,S63,V63)</f>
        <v>O23011745992024020713031</v>
      </c>
      <c r="AA63" s="248" t="str">
        <f>IFERROR(VLOOKUP(Y63,TD!$K$47:$L$65,2,0)," ")</f>
        <v>PM/0131/0113/45990310207</v>
      </c>
      <c r="AB63" s="53" t="s">
        <v>138</v>
      </c>
      <c r="AC63" s="250" t="s">
        <v>204</v>
      </c>
    </row>
    <row r="64" spans="2:29" s="28" customFormat="1" ht="84" x14ac:dyDescent="0.35">
      <c r="B64" s="77">
        <v>20250049</v>
      </c>
      <c r="C64" s="50" t="s">
        <v>208</v>
      </c>
      <c r="D64" s="246" t="s">
        <v>36</v>
      </c>
      <c r="E64" s="51" t="s">
        <v>378</v>
      </c>
      <c r="F64" s="246" t="s">
        <v>380</v>
      </c>
      <c r="G64" s="246" t="s">
        <v>155</v>
      </c>
      <c r="H64" s="93">
        <v>80111600</v>
      </c>
      <c r="I64" s="247">
        <v>2</v>
      </c>
      <c r="J64" s="247">
        <v>11</v>
      </c>
      <c r="K64" s="52">
        <v>0</v>
      </c>
      <c r="L64" s="53">
        <v>104500000</v>
      </c>
      <c r="M64" s="246" t="s">
        <v>464</v>
      </c>
      <c r="N64" s="53" t="s">
        <v>113</v>
      </c>
      <c r="O64" s="51" t="s">
        <v>211</v>
      </c>
      <c r="P64" s="248" t="str">
        <f>IFERROR(VLOOKUP(C64,TD!$B$33:$F$37,2,0)," ")</f>
        <v>O230117</v>
      </c>
      <c r="Q64" s="248" t="str">
        <f>IFERROR(VLOOKUP(C64,TD!$B$33:$F$37,3,0)," ")</f>
        <v>4599</v>
      </c>
      <c r="R64" s="248">
        <f>IFERROR(VLOOKUP(C64,TD!$B$33:$F$37,4,0)," ")</f>
        <v>20240207</v>
      </c>
      <c r="S64" s="51" t="s">
        <v>193</v>
      </c>
      <c r="T64" s="248" t="str">
        <f>IFERROR(VLOOKUP(S64,TD!$J$34:$K$44,2,0)," ")</f>
        <v>Servicios para la planeación y sistemas de gestión y comunicación estratégica</v>
      </c>
      <c r="U64" s="249" t="str">
        <f>CONCATENATE(S64,"-",T64)</f>
        <v>13-Servicios para la planeación y sistemas de gestión y comunicación estratégica</v>
      </c>
      <c r="V64" s="51" t="s">
        <v>240</v>
      </c>
      <c r="W64" s="248" t="str">
        <f>IFERROR(VLOOKUP(V64,TD!$N$34:$O$46,2,0)," ")</f>
        <v>Servicio de asistencia técnica</v>
      </c>
      <c r="X64" s="249" t="str">
        <f>CONCATENATE(V64,"_",W64)</f>
        <v>031_Servicio de asistencia técnica</v>
      </c>
      <c r="Y64" s="249" t="str">
        <f>CONCATENATE(U64," ",X64)</f>
        <v>13-Servicios para la planeación y sistemas de gestión y comunicación estratégica 031_Servicio de asistencia técnica</v>
      </c>
      <c r="Z64" s="248" t="str">
        <f>CONCATENATE(P64,Q64,R64,S64,V64)</f>
        <v>O23011745992024020713031</v>
      </c>
      <c r="AA64" s="248" t="str">
        <f>IFERROR(VLOOKUP(Y64,TD!$K$47:$L$65,2,0)," ")</f>
        <v>PM/0131/0113/45990310207</v>
      </c>
      <c r="AB64" s="53" t="s">
        <v>138</v>
      </c>
      <c r="AC64" s="250" t="s">
        <v>204</v>
      </c>
    </row>
    <row r="65" spans="2:29" s="28" customFormat="1" ht="84" x14ac:dyDescent="0.35">
      <c r="B65" s="77">
        <v>20250050</v>
      </c>
      <c r="C65" s="50" t="s">
        <v>208</v>
      </c>
      <c r="D65" s="246" t="s">
        <v>36</v>
      </c>
      <c r="E65" s="51" t="s">
        <v>378</v>
      </c>
      <c r="F65" s="246" t="s">
        <v>381</v>
      </c>
      <c r="G65" s="246" t="s">
        <v>155</v>
      </c>
      <c r="H65" s="93">
        <v>80111600</v>
      </c>
      <c r="I65" s="247">
        <v>2</v>
      </c>
      <c r="J65" s="247">
        <v>6</v>
      </c>
      <c r="K65" s="52">
        <v>0</v>
      </c>
      <c r="L65" s="53">
        <v>42000000</v>
      </c>
      <c r="M65" s="246" t="s">
        <v>464</v>
      </c>
      <c r="N65" s="53" t="s">
        <v>113</v>
      </c>
      <c r="O65" s="51" t="s">
        <v>211</v>
      </c>
      <c r="P65" s="248" t="str">
        <f>IFERROR(VLOOKUP(C65,TD!$B$33:$F$37,2,0)," ")</f>
        <v>O230117</v>
      </c>
      <c r="Q65" s="248" t="str">
        <f>IFERROR(VLOOKUP(C65,TD!$B$33:$F$37,3,0)," ")</f>
        <v>4599</v>
      </c>
      <c r="R65" s="248">
        <f>IFERROR(VLOOKUP(C65,TD!$B$33:$F$37,4,0)," ")</f>
        <v>20240207</v>
      </c>
      <c r="S65" s="51" t="s">
        <v>193</v>
      </c>
      <c r="T65" s="248" t="str">
        <f>IFERROR(VLOOKUP(S65,TD!$J$34:$K$44,2,0)," ")</f>
        <v>Servicios para la planeación y sistemas de gestión y comunicación estratégica</v>
      </c>
      <c r="U65" s="249" t="str">
        <f>CONCATENATE(S65,"-",T65)</f>
        <v>13-Servicios para la planeación y sistemas de gestión y comunicación estratégica</v>
      </c>
      <c r="V65" s="51" t="s">
        <v>240</v>
      </c>
      <c r="W65" s="248" t="str">
        <f>IFERROR(VLOOKUP(V65,TD!$N$34:$O$46,2,0)," ")</f>
        <v>Servicio de asistencia técnica</v>
      </c>
      <c r="X65" s="249" t="str">
        <f>CONCATENATE(V65,"_",W65)</f>
        <v>031_Servicio de asistencia técnica</v>
      </c>
      <c r="Y65" s="249" t="str">
        <f>CONCATENATE(U65," ",X65)</f>
        <v>13-Servicios para la planeación y sistemas de gestión y comunicación estratégica 031_Servicio de asistencia técnica</v>
      </c>
      <c r="Z65" s="248" t="str">
        <f>CONCATENATE(P65,Q65,R65,S65,V65)</f>
        <v>O23011745992024020713031</v>
      </c>
      <c r="AA65" s="248" t="str">
        <f>IFERROR(VLOOKUP(Y65,TD!$K$47:$L$65,2,0)," ")</f>
        <v>PM/0131/0113/45990310207</v>
      </c>
      <c r="AB65" s="53" t="s">
        <v>138</v>
      </c>
      <c r="AC65" s="250" t="s">
        <v>204</v>
      </c>
    </row>
    <row r="66" spans="2:29" s="28" customFormat="1" ht="98" x14ac:dyDescent="0.35">
      <c r="B66" s="77">
        <v>20250051</v>
      </c>
      <c r="C66" s="50" t="s">
        <v>208</v>
      </c>
      <c r="D66" s="246" t="s">
        <v>36</v>
      </c>
      <c r="E66" s="51" t="s">
        <v>378</v>
      </c>
      <c r="F66" s="246" t="s">
        <v>421</v>
      </c>
      <c r="G66" s="246" t="s">
        <v>155</v>
      </c>
      <c r="H66" s="93">
        <v>80111600</v>
      </c>
      <c r="I66" s="247">
        <v>2</v>
      </c>
      <c r="J66" s="247">
        <v>7</v>
      </c>
      <c r="K66" s="52">
        <v>0</v>
      </c>
      <c r="L66" s="53">
        <v>51100000</v>
      </c>
      <c r="M66" s="246" t="s">
        <v>464</v>
      </c>
      <c r="N66" s="53" t="s">
        <v>113</v>
      </c>
      <c r="O66" s="51" t="s">
        <v>211</v>
      </c>
      <c r="P66" s="248" t="str">
        <f>IFERROR(VLOOKUP(C66,TD!$B$33:$F$37,2,0)," ")</f>
        <v>O230117</v>
      </c>
      <c r="Q66" s="248" t="str">
        <f>IFERROR(VLOOKUP(C66,TD!$B$33:$F$37,3,0)," ")</f>
        <v>4599</v>
      </c>
      <c r="R66" s="248">
        <f>IFERROR(VLOOKUP(C66,TD!$B$33:$F$37,4,0)," ")</f>
        <v>20240207</v>
      </c>
      <c r="S66" s="51" t="s">
        <v>193</v>
      </c>
      <c r="T66" s="248" t="str">
        <f>IFERROR(VLOOKUP(S66,TD!$J$34:$K$44,2,0)," ")</f>
        <v>Servicios para la planeación y sistemas de gestión y comunicación estratégica</v>
      </c>
      <c r="U66" s="249" t="str">
        <f>CONCATENATE(S66,"-",T66)</f>
        <v>13-Servicios para la planeación y sistemas de gestión y comunicación estratégica</v>
      </c>
      <c r="V66" s="51" t="s">
        <v>240</v>
      </c>
      <c r="W66" s="248" t="str">
        <f>IFERROR(VLOOKUP(V66,TD!$N$34:$O$46,2,0)," ")</f>
        <v>Servicio de asistencia técnica</v>
      </c>
      <c r="X66" s="249" t="str">
        <f>CONCATENATE(V66,"_",W66)</f>
        <v>031_Servicio de asistencia técnica</v>
      </c>
      <c r="Y66" s="249" t="str">
        <f>CONCATENATE(U66," ",X66)</f>
        <v>13-Servicios para la planeación y sistemas de gestión y comunicación estratégica 031_Servicio de asistencia técnica</v>
      </c>
      <c r="Z66" s="248" t="str">
        <f>CONCATENATE(P66,Q66,R66,S66,V66)</f>
        <v>O23011745992024020713031</v>
      </c>
      <c r="AA66" s="248" t="str">
        <f>IFERROR(VLOOKUP(Y66,TD!$K$47:$L$65,2,0)," ")</f>
        <v>PM/0131/0113/45990310207</v>
      </c>
      <c r="AB66" s="53" t="s">
        <v>138</v>
      </c>
      <c r="AC66" s="250" t="s">
        <v>204</v>
      </c>
    </row>
    <row r="67" spans="2:29" s="28" customFormat="1" ht="56" x14ac:dyDescent="0.35">
      <c r="B67" s="77">
        <v>20250052</v>
      </c>
      <c r="C67" s="50" t="s">
        <v>208</v>
      </c>
      <c r="D67" s="246" t="s">
        <v>36</v>
      </c>
      <c r="E67" s="51" t="s">
        <v>378</v>
      </c>
      <c r="F67" s="246" t="s">
        <v>472</v>
      </c>
      <c r="G67" s="246" t="s">
        <v>155</v>
      </c>
      <c r="H67" s="93">
        <v>80111600</v>
      </c>
      <c r="I67" s="247">
        <v>2</v>
      </c>
      <c r="J67" s="247">
        <v>11</v>
      </c>
      <c r="K67" s="52">
        <v>0</v>
      </c>
      <c r="L67" s="53">
        <v>93500000</v>
      </c>
      <c r="M67" s="246" t="s">
        <v>464</v>
      </c>
      <c r="N67" s="53" t="s">
        <v>113</v>
      </c>
      <c r="O67" s="51" t="s">
        <v>212</v>
      </c>
      <c r="P67" s="248" t="str">
        <f>IFERROR(VLOOKUP(C67,TD!$B$33:$F$37,2,0)," ")</f>
        <v>O230117</v>
      </c>
      <c r="Q67" s="248" t="str">
        <f>IFERROR(VLOOKUP(C67,TD!$B$33:$F$37,3,0)," ")</f>
        <v>4599</v>
      </c>
      <c r="R67" s="248">
        <f>IFERROR(VLOOKUP(C67,TD!$B$33:$F$37,4,0)," ")</f>
        <v>20240207</v>
      </c>
      <c r="S67" s="51" t="s">
        <v>193</v>
      </c>
      <c r="T67" s="248" t="str">
        <f>IFERROR(VLOOKUP(S67,TD!$J$34:$K$44,2,0)," ")</f>
        <v>Servicios para la planeación y sistemas de gestión y comunicación estratégica</v>
      </c>
      <c r="U67" s="249" t="str">
        <f>CONCATENATE(S67,"-",T67)</f>
        <v>13-Servicios para la planeación y sistemas de gestión y comunicación estratégica</v>
      </c>
      <c r="V67" s="51" t="s">
        <v>241</v>
      </c>
      <c r="W67" s="248" t="str">
        <f>IFERROR(VLOOKUP(V67,TD!$N$34:$O$46,2,0)," ")</f>
        <v>Servicio de Implementación Sistemas de Gestión</v>
      </c>
      <c r="X67" s="249" t="str">
        <f>CONCATENATE(V67,"_",W67)</f>
        <v>023_Servicio de Implementación Sistemas de Gestión</v>
      </c>
      <c r="Y67" s="249" t="str">
        <f>CONCATENATE(U67," ",X67)</f>
        <v>13-Servicios para la planeación y sistemas de gestión y comunicación estratégica 023_Servicio de Implementación Sistemas de Gestión</v>
      </c>
      <c r="Z67" s="248" t="str">
        <f>CONCATENATE(P67,Q67,R67,S67,V67)</f>
        <v>O23011745992024020713023</v>
      </c>
      <c r="AA67" s="248" t="str">
        <f>IFERROR(VLOOKUP(Y67,TD!$K$47:$L$65,2,0)," ")</f>
        <v>PM/0131/0113/45990230207</v>
      </c>
      <c r="AB67" s="53" t="s">
        <v>138</v>
      </c>
      <c r="AC67" s="250" t="s">
        <v>204</v>
      </c>
    </row>
    <row r="68" spans="2:29" s="28" customFormat="1" ht="56" x14ac:dyDescent="0.35">
      <c r="B68" s="77">
        <v>20250053</v>
      </c>
      <c r="C68" s="50" t="s">
        <v>208</v>
      </c>
      <c r="D68" s="246" t="s">
        <v>36</v>
      </c>
      <c r="E68" s="51" t="s">
        <v>378</v>
      </c>
      <c r="F68" s="246" t="s">
        <v>473</v>
      </c>
      <c r="G68" s="246" t="s">
        <v>155</v>
      </c>
      <c r="H68" s="93">
        <v>80111600</v>
      </c>
      <c r="I68" s="247">
        <v>2</v>
      </c>
      <c r="J68" s="247">
        <v>7</v>
      </c>
      <c r="K68" s="52">
        <v>0</v>
      </c>
      <c r="L68" s="53">
        <v>52500000</v>
      </c>
      <c r="M68" s="246" t="s">
        <v>464</v>
      </c>
      <c r="N68" s="53" t="s">
        <v>113</v>
      </c>
      <c r="O68" s="51" t="s">
        <v>211</v>
      </c>
      <c r="P68" s="248" t="str">
        <f>IFERROR(VLOOKUP(C68,TD!$B$33:$F$37,2,0)," ")</f>
        <v>O230117</v>
      </c>
      <c r="Q68" s="248" t="str">
        <f>IFERROR(VLOOKUP(C68,TD!$B$33:$F$37,3,0)," ")</f>
        <v>4599</v>
      </c>
      <c r="R68" s="248">
        <f>IFERROR(VLOOKUP(C68,TD!$B$33:$F$37,4,0)," ")</f>
        <v>20240207</v>
      </c>
      <c r="S68" s="51" t="s">
        <v>193</v>
      </c>
      <c r="T68" s="248" t="str">
        <f>IFERROR(VLOOKUP(S68,TD!$J$34:$K$44,2,0)," ")</f>
        <v>Servicios para la planeación y sistemas de gestión y comunicación estratégica</v>
      </c>
      <c r="U68" s="249" t="str">
        <f>CONCATENATE(S68,"-",T68)</f>
        <v>13-Servicios para la planeación y sistemas de gestión y comunicación estratégica</v>
      </c>
      <c r="V68" s="51" t="s">
        <v>240</v>
      </c>
      <c r="W68" s="248" t="str">
        <f>IFERROR(VLOOKUP(V68,TD!$N$34:$O$46,2,0)," ")</f>
        <v>Servicio de asistencia técnica</v>
      </c>
      <c r="X68" s="249" t="str">
        <f>CONCATENATE(V68,"_",W68)</f>
        <v>031_Servicio de asistencia técnica</v>
      </c>
      <c r="Y68" s="249" t="str">
        <f>CONCATENATE(U68," ",X68)</f>
        <v>13-Servicios para la planeación y sistemas de gestión y comunicación estratégica 031_Servicio de asistencia técnica</v>
      </c>
      <c r="Z68" s="248" t="str">
        <f>CONCATENATE(P68,Q68,R68,S68,V68)</f>
        <v>O23011745992024020713031</v>
      </c>
      <c r="AA68" s="248" t="str">
        <f>IFERROR(VLOOKUP(Y68,TD!$K$47:$L$65,2,0)," ")</f>
        <v>PM/0131/0113/45990310207</v>
      </c>
      <c r="AB68" s="53" t="s">
        <v>138</v>
      </c>
      <c r="AC68" s="250" t="s">
        <v>204</v>
      </c>
    </row>
    <row r="69" spans="2:29" s="28" customFormat="1" ht="98" x14ac:dyDescent="0.35">
      <c r="B69" s="77">
        <v>20250054</v>
      </c>
      <c r="C69" s="50" t="s">
        <v>208</v>
      </c>
      <c r="D69" s="246" t="s">
        <v>36</v>
      </c>
      <c r="E69" s="51" t="s">
        <v>378</v>
      </c>
      <c r="F69" s="246" t="s">
        <v>474</v>
      </c>
      <c r="G69" s="246" t="s">
        <v>156</v>
      </c>
      <c r="H69" s="93">
        <v>80111600</v>
      </c>
      <c r="I69" s="247">
        <v>2</v>
      </c>
      <c r="J69" s="247">
        <v>6</v>
      </c>
      <c r="K69" s="52">
        <v>0</v>
      </c>
      <c r="L69" s="53">
        <v>24000000</v>
      </c>
      <c r="M69" s="246" t="s">
        <v>464</v>
      </c>
      <c r="N69" s="53" t="s">
        <v>113</v>
      </c>
      <c r="O69" s="51" t="s">
        <v>211</v>
      </c>
      <c r="P69" s="248" t="str">
        <f>IFERROR(VLOOKUP(C69,TD!$B$33:$F$37,2,0)," ")</f>
        <v>O230117</v>
      </c>
      <c r="Q69" s="248" t="str">
        <f>IFERROR(VLOOKUP(C69,TD!$B$33:$F$37,3,0)," ")</f>
        <v>4599</v>
      </c>
      <c r="R69" s="248">
        <f>IFERROR(VLOOKUP(C69,TD!$B$33:$F$37,4,0)," ")</f>
        <v>20240207</v>
      </c>
      <c r="S69" s="51" t="s">
        <v>193</v>
      </c>
      <c r="T69" s="248" t="str">
        <f>IFERROR(VLOOKUP(S69,TD!$J$34:$K$44,2,0)," ")</f>
        <v>Servicios para la planeación y sistemas de gestión y comunicación estratégica</v>
      </c>
      <c r="U69" s="249" t="str">
        <f>CONCATENATE(S69,"-",T69)</f>
        <v>13-Servicios para la planeación y sistemas de gestión y comunicación estratégica</v>
      </c>
      <c r="V69" s="51" t="s">
        <v>240</v>
      </c>
      <c r="W69" s="248" t="str">
        <f>IFERROR(VLOOKUP(V69,TD!$N$34:$O$46,2,0)," ")</f>
        <v>Servicio de asistencia técnica</v>
      </c>
      <c r="X69" s="249" t="str">
        <f>CONCATENATE(V69,"_",W69)</f>
        <v>031_Servicio de asistencia técnica</v>
      </c>
      <c r="Y69" s="249" t="str">
        <f>CONCATENATE(U69," ",X69)</f>
        <v>13-Servicios para la planeación y sistemas de gestión y comunicación estratégica 031_Servicio de asistencia técnica</v>
      </c>
      <c r="Z69" s="248" t="str">
        <f>CONCATENATE(P69,Q69,R69,S69,V69)</f>
        <v>O23011745992024020713031</v>
      </c>
      <c r="AA69" s="248" t="str">
        <f>IFERROR(VLOOKUP(Y69,TD!$K$47:$L$65,2,0)," ")</f>
        <v>PM/0131/0113/45990310207</v>
      </c>
      <c r="AB69" s="53" t="s">
        <v>138</v>
      </c>
      <c r="AC69" s="250" t="s">
        <v>204</v>
      </c>
    </row>
    <row r="70" spans="2:29" s="28" customFormat="1" ht="98" x14ac:dyDescent="0.35">
      <c r="B70" s="77">
        <v>20250055</v>
      </c>
      <c r="C70" s="50" t="s">
        <v>208</v>
      </c>
      <c r="D70" s="246" t="s">
        <v>36</v>
      </c>
      <c r="E70" s="51" t="s">
        <v>378</v>
      </c>
      <c r="F70" s="246" t="s">
        <v>382</v>
      </c>
      <c r="G70" s="246" t="s">
        <v>155</v>
      </c>
      <c r="H70" s="93">
        <v>80111600</v>
      </c>
      <c r="I70" s="247">
        <v>2</v>
      </c>
      <c r="J70" s="247">
        <v>7</v>
      </c>
      <c r="K70" s="52">
        <v>0</v>
      </c>
      <c r="L70" s="53">
        <v>59500000</v>
      </c>
      <c r="M70" s="246" t="s">
        <v>464</v>
      </c>
      <c r="N70" s="53" t="s">
        <v>113</v>
      </c>
      <c r="O70" s="51" t="s">
        <v>211</v>
      </c>
      <c r="P70" s="248" t="str">
        <f>IFERROR(VLOOKUP(C70,TD!$B$33:$F$37,2,0)," ")</f>
        <v>O230117</v>
      </c>
      <c r="Q70" s="248" t="str">
        <f>IFERROR(VLOOKUP(C70,TD!$B$33:$F$37,3,0)," ")</f>
        <v>4599</v>
      </c>
      <c r="R70" s="248">
        <f>IFERROR(VLOOKUP(C70,TD!$B$33:$F$37,4,0)," ")</f>
        <v>20240207</v>
      </c>
      <c r="S70" s="51" t="s">
        <v>193</v>
      </c>
      <c r="T70" s="248" t="str">
        <f>IFERROR(VLOOKUP(S70,TD!$J$34:$K$44,2,0)," ")</f>
        <v>Servicios para la planeación y sistemas de gestión y comunicación estratégica</v>
      </c>
      <c r="U70" s="249" t="str">
        <f>CONCATENATE(S70,"-",T70)</f>
        <v>13-Servicios para la planeación y sistemas de gestión y comunicación estratégica</v>
      </c>
      <c r="V70" s="51" t="s">
        <v>241</v>
      </c>
      <c r="W70" s="248" t="str">
        <f>IFERROR(VLOOKUP(V70,TD!$N$34:$O$46,2,0)," ")</f>
        <v>Servicio de Implementación Sistemas de Gestión</v>
      </c>
      <c r="X70" s="249" t="str">
        <f>CONCATENATE(V70,"_",W70)</f>
        <v>023_Servicio de Implementación Sistemas de Gestión</v>
      </c>
      <c r="Y70" s="249" t="str">
        <f>CONCATENATE(U70," ",X70)</f>
        <v>13-Servicios para la planeación y sistemas de gestión y comunicación estratégica 023_Servicio de Implementación Sistemas de Gestión</v>
      </c>
      <c r="Z70" s="248" t="str">
        <f>CONCATENATE(P70,Q70,R70,S70,V70)</f>
        <v>O23011745992024020713023</v>
      </c>
      <c r="AA70" s="248" t="str">
        <f>IFERROR(VLOOKUP(Y70,TD!$K$47:$L$65,2,0)," ")</f>
        <v>PM/0131/0113/45990230207</v>
      </c>
      <c r="AB70" s="53" t="s">
        <v>138</v>
      </c>
      <c r="AC70" s="250" t="s">
        <v>204</v>
      </c>
    </row>
    <row r="71" spans="2:29" s="28" customFormat="1" ht="70" x14ac:dyDescent="0.35">
      <c r="B71" s="77">
        <v>20250056</v>
      </c>
      <c r="C71" s="50" t="s">
        <v>208</v>
      </c>
      <c r="D71" s="246" t="s">
        <v>36</v>
      </c>
      <c r="E71" s="51" t="s">
        <v>378</v>
      </c>
      <c r="F71" s="246" t="s">
        <v>383</v>
      </c>
      <c r="G71" s="246" t="s">
        <v>155</v>
      </c>
      <c r="H71" s="93">
        <v>80111600</v>
      </c>
      <c r="I71" s="247">
        <v>2</v>
      </c>
      <c r="J71" s="247">
        <v>10</v>
      </c>
      <c r="K71" s="52">
        <v>0</v>
      </c>
      <c r="L71" s="53">
        <v>73000000</v>
      </c>
      <c r="M71" s="246" t="s">
        <v>464</v>
      </c>
      <c r="N71" s="53" t="s">
        <v>113</v>
      </c>
      <c r="O71" s="51" t="s">
        <v>211</v>
      </c>
      <c r="P71" s="248" t="str">
        <f>IFERROR(VLOOKUP(C71,TD!$B$33:$F$37,2,0)," ")</f>
        <v>O230117</v>
      </c>
      <c r="Q71" s="248" t="str">
        <f>IFERROR(VLOOKUP(C71,TD!$B$33:$F$37,3,0)," ")</f>
        <v>4599</v>
      </c>
      <c r="R71" s="248">
        <f>IFERROR(VLOOKUP(C71,TD!$B$33:$F$37,4,0)," ")</f>
        <v>20240207</v>
      </c>
      <c r="S71" s="51" t="s">
        <v>193</v>
      </c>
      <c r="T71" s="248" t="str">
        <f>IFERROR(VLOOKUP(S71,TD!$J$34:$K$44,2,0)," ")</f>
        <v>Servicios para la planeación y sistemas de gestión y comunicación estratégica</v>
      </c>
      <c r="U71" s="249" t="str">
        <f>CONCATENATE(S71,"-",T71)</f>
        <v>13-Servicios para la planeación y sistemas de gestión y comunicación estratégica</v>
      </c>
      <c r="V71" s="51" t="s">
        <v>240</v>
      </c>
      <c r="W71" s="248" t="str">
        <f>IFERROR(VLOOKUP(V71,TD!$N$34:$O$46,2,0)," ")</f>
        <v>Servicio de asistencia técnica</v>
      </c>
      <c r="X71" s="249" t="str">
        <f>CONCATENATE(V71,"_",W71)</f>
        <v>031_Servicio de asistencia técnica</v>
      </c>
      <c r="Y71" s="249" t="str">
        <f>CONCATENATE(U71," ",X71)</f>
        <v>13-Servicios para la planeación y sistemas de gestión y comunicación estratégica 031_Servicio de asistencia técnica</v>
      </c>
      <c r="Z71" s="248" t="str">
        <f>CONCATENATE(P71,Q71,R71,S71,V71)</f>
        <v>O23011745992024020713031</v>
      </c>
      <c r="AA71" s="248" t="str">
        <f>IFERROR(VLOOKUP(Y71,TD!$K$47:$L$65,2,0)," ")</f>
        <v>PM/0131/0113/45990310207</v>
      </c>
      <c r="AB71" s="53" t="s">
        <v>138</v>
      </c>
      <c r="AC71" s="250" t="s">
        <v>204</v>
      </c>
    </row>
    <row r="72" spans="2:29" s="28" customFormat="1" ht="56" x14ac:dyDescent="0.35">
      <c r="B72" s="77">
        <v>20250057</v>
      </c>
      <c r="C72" s="50" t="s">
        <v>208</v>
      </c>
      <c r="D72" s="246" t="s">
        <v>36</v>
      </c>
      <c r="E72" s="51" t="s">
        <v>378</v>
      </c>
      <c r="F72" s="246" t="s">
        <v>475</v>
      </c>
      <c r="G72" s="246" t="s">
        <v>155</v>
      </c>
      <c r="H72" s="93">
        <v>80111600</v>
      </c>
      <c r="I72" s="247">
        <v>2</v>
      </c>
      <c r="J72" s="247">
        <v>6</v>
      </c>
      <c r="K72" s="52">
        <v>0</v>
      </c>
      <c r="L72" s="53">
        <v>39000000</v>
      </c>
      <c r="M72" s="246" t="s">
        <v>464</v>
      </c>
      <c r="N72" s="53" t="s">
        <v>113</v>
      </c>
      <c r="O72" s="51" t="s">
        <v>212</v>
      </c>
      <c r="P72" s="248" t="str">
        <f>IFERROR(VLOOKUP(C72,TD!$B$33:$F$37,2,0)," ")</f>
        <v>O230117</v>
      </c>
      <c r="Q72" s="248" t="str">
        <f>IFERROR(VLOOKUP(C72,TD!$B$33:$F$37,3,0)," ")</f>
        <v>4599</v>
      </c>
      <c r="R72" s="248">
        <f>IFERROR(VLOOKUP(C72,TD!$B$33:$F$37,4,0)," ")</f>
        <v>20240207</v>
      </c>
      <c r="S72" s="51" t="s">
        <v>193</v>
      </c>
      <c r="T72" s="248" t="str">
        <f>IFERROR(VLOOKUP(S72,TD!$J$34:$K$44,2,0)," ")</f>
        <v>Servicios para la planeación y sistemas de gestión y comunicación estratégica</v>
      </c>
      <c r="U72" s="249" t="str">
        <f>CONCATENATE(S72,"-",T72)</f>
        <v>13-Servicios para la planeación y sistemas de gestión y comunicación estratégica</v>
      </c>
      <c r="V72" s="51" t="s">
        <v>241</v>
      </c>
      <c r="W72" s="248" t="str">
        <f>IFERROR(VLOOKUP(V72,TD!$N$34:$O$46,2,0)," ")</f>
        <v>Servicio de Implementación Sistemas de Gestión</v>
      </c>
      <c r="X72" s="249" t="str">
        <f>CONCATENATE(V72,"_",W72)</f>
        <v>023_Servicio de Implementación Sistemas de Gestión</v>
      </c>
      <c r="Y72" s="249" t="str">
        <f>CONCATENATE(U72," ",X72)</f>
        <v>13-Servicios para la planeación y sistemas de gestión y comunicación estratégica 023_Servicio de Implementación Sistemas de Gestión</v>
      </c>
      <c r="Z72" s="248" t="str">
        <f>CONCATENATE(P72,Q72,R72,S72,V72)</f>
        <v>O23011745992024020713023</v>
      </c>
      <c r="AA72" s="248" t="str">
        <f>IFERROR(VLOOKUP(Y72,TD!$K$47:$L$65,2,0)," ")</f>
        <v>PM/0131/0113/45990230207</v>
      </c>
      <c r="AB72" s="53" t="s">
        <v>138</v>
      </c>
      <c r="AC72" s="250" t="s">
        <v>204</v>
      </c>
    </row>
    <row r="73" spans="2:29" s="28" customFormat="1" ht="56" x14ac:dyDescent="0.35">
      <c r="B73" s="77">
        <v>20250058</v>
      </c>
      <c r="C73" s="50" t="s">
        <v>208</v>
      </c>
      <c r="D73" s="246" t="s">
        <v>36</v>
      </c>
      <c r="E73" s="51" t="s">
        <v>378</v>
      </c>
      <c r="F73" s="246" t="s">
        <v>384</v>
      </c>
      <c r="G73" s="246" t="s">
        <v>155</v>
      </c>
      <c r="H73" s="93">
        <v>80111600</v>
      </c>
      <c r="I73" s="247">
        <v>3</v>
      </c>
      <c r="J73" s="247">
        <v>7</v>
      </c>
      <c r="K73" s="52">
        <v>0</v>
      </c>
      <c r="L73" s="53">
        <v>45500000</v>
      </c>
      <c r="M73" s="246" t="s">
        <v>464</v>
      </c>
      <c r="N73" s="53" t="s">
        <v>113</v>
      </c>
      <c r="O73" s="51" t="s">
        <v>211</v>
      </c>
      <c r="P73" s="248" t="str">
        <f>IFERROR(VLOOKUP(C73,TD!$B$33:$F$37,2,0)," ")</f>
        <v>O230117</v>
      </c>
      <c r="Q73" s="248" t="str">
        <f>IFERROR(VLOOKUP(C73,TD!$B$33:$F$37,3,0)," ")</f>
        <v>4599</v>
      </c>
      <c r="R73" s="248">
        <f>IFERROR(VLOOKUP(C73,TD!$B$33:$F$37,4,0)," ")</f>
        <v>20240207</v>
      </c>
      <c r="S73" s="51" t="s">
        <v>193</v>
      </c>
      <c r="T73" s="248" t="str">
        <f>IFERROR(VLOOKUP(S73,TD!$J$34:$K$44,2,0)," ")</f>
        <v>Servicios para la planeación y sistemas de gestión y comunicación estratégica</v>
      </c>
      <c r="U73" s="249" t="str">
        <f>CONCATENATE(S73,"-",T73)</f>
        <v>13-Servicios para la planeación y sistemas de gestión y comunicación estratégica</v>
      </c>
      <c r="V73" s="51" t="s">
        <v>241</v>
      </c>
      <c r="W73" s="248" t="str">
        <f>IFERROR(VLOOKUP(V73,TD!$N$34:$O$46,2,0)," ")</f>
        <v>Servicio de Implementación Sistemas de Gestión</v>
      </c>
      <c r="X73" s="249" t="str">
        <f>CONCATENATE(V73,"_",W73)</f>
        <v>023_Servicio de Implementación Sistemas de Gestión</v>
      </c>
      <c r="Y73" s="249" t="str">
        <f>CONCATENATE(U73," ",X73)</f>
        <v>13-Servicios para la planeación y sistemas de gestión y comunicación estratégica 023_Servicio de Implementación Sistemas de Gestión</v>
      </c>
      <c r="Z73" s="248" t="str">
        <f>CONCATENATE(P73,Q73,R73,S73,V73)</f>
        <v>O23011745992024020713023</v>
      </c>
      <c r="AA73" s="248" t="str">
        <f>IFERROR(VLOOKUP(Y73,TD!$K$47:$L$65,2,0)," ")</f>
        <v>PM/0131/0113/45990230207</v>
      </c>
      <c r="AB73" s="53" t="s">
        <v>120</v>
      </c>
      <c r="AC73" s="250" t="s">
        <v>204</v>
      </c>
    </row>
    <row r="74" spans="2:29" s="28" customFormat="1" ht="56" x14ac:dyDescent="0.35">
      <c r="B74" s="77">
        <v>20250059</v>
      </c>
      <c r="C74" s="50" t="s">
        <v>208</v>
      </c>
      <c r="D74" s="246" t="s">
        <v>36</v>
      </c>
      <c r="E74" s="51" t="s">
        <v>378</v>
      </c>
      <c r="F74" s="246" t="s">
        <v>385</v>
      </c>
      <c r="G74" s="246" t="s">
        <v>155</v>
      </c>
      <c r="H74" s="93">
        <v>80111600</v>
      </c>
      <c r="I74" s="247">
        <v>2</v>
      </c>
      <c r="J74" s="247">
        <v>11</v>
      </c>
      <c r="K74" s="52">
        <v>0</v>
      </c>
      <c r="L74" s="53">
        <v>104500000</v>
      </c>
      <c r="M74" s="246" t="s">
        <v>464</v>
      </c>
      <c r="N74" s="53" t="s">
        <v>113</v>
      </c>
      <c r="O74" s="51" t="s">
        <v>211</v>
      </c>
      <c r="P74" s="248" t="str">
        <f>IFERROR(VLOOKUP(C74,TD!$B$33:$F$37,2,0)," ")</f>
        <v>O230117</v>
      </c>
      <c r="Q74" s="248" t="str">
        <f>IFERROR(VLOOKUP(C74,TD!$B$33:$F$37,3,0)," ")</f>
        <v>4599</v>
      </c>
      <c r="R74" s="248">
        <f>IFERROR(VLOOKUP(C74,TD!$B$33:$F$37,4,0)," ")</f>
        <v>20240207</v>
      </c>
      <c r="S74" s="51" t="s">
        <v>193</v>
      </c>
      <c r="T74" s="248" t="str">
        <f>IFERROR(VLOOKUP(S74,TD!$J$34:$K$44,2,0)," ")</f>
        <v>Servicios para la planeación y sistemas de gestión y comunicación estratégica</v>
      </c>
      <c r="U74" s="249" t="str">
        <f>CONCATENATE(S74,"-",T74)</f>
        <v>13-Servicios para la planeación y sistemas de gestión y comunicación estratégica</v>
      </c>
      <c r="V74" s="51" t="s">
        <v>241</v>
      </c>
      <c r="W74" s="248" t="str">
        <f>IFERROR(VLOOKUP(V74,TD!$N$34:$O$46,2,0)," ")</f>
        <v>Servicio de Implementación Sistemas de Gestión</v>
      </c>
      <c r="X74" s="249" t="str">
        <f>CONCATENATE(V74,"_",W74)</f>
        <v>023_Servicio de Implementación Sistemas de Gestión</v>
      </c>
      <c r="Y74" s="249" t="str">
        <f>CONCATENATE(U74," ",X74)</f>
        <v>13-Servicios para la planeación y sistemas de gestión y comunicación estratégica 023_Servicio de Implementación Sistemas de Gestión</v>
      </c>
      <c r="Z74" s="248" t="str">
        <f>CONCATENATE(P74,Q74,R74,S74,V74)</f>
        <v>O23011745992024020713023</v>
      </c>
      <c r="AA74" s="248" t="str">
        <f>IFERROR(VLOOKUP(Y74,TD!$K$47:$L$65,2,0)," ")</f>
        <v>PM/0131/0113/45990230207</v>
      </c>
      <c r="AB74" s="53" t="s">
        <v>138</v>
      </c>
      <c r="AC74" s="250" t="s">
        <v>204</v>
      </c>
    </row>
    <row r="75" spans="2:29" s="28" customFormat="1" ht="56" x14ac:dyDescent="0.35">
      <c r="B75" s="77">
        <v>20250060</v>
      </c>
      <c r="C75" s="50" t="s">
        <v>208</v>
      </c>
      <c r="D75" s="246" t="s">
        <v>36</v>
      </c>
      <c r="E75" s="51" t="s">
        <v>378</v>
      </c>
      <c r="F75" s="246" t="s">
        <v>476</v>
      </c>
      <c r="G75" s="246" t="s">
        <v>155</v>
      </c>
      <c r="H75" s="93">
        <v>80111600</v>
      </c>
      <c r="I75" s="247">
        <v>2</v>
      </c>
      <c r="J75" s="247">
        <v>6</v>
      </c>
      <c r="K75" s="52">
        <v>0</v>
      </c>
      <c r="L75" s="53">
        <v>11433334</v>
      </c>
      <c r="M75" s="246" t="s">
        <v>464</v>
      </c>
      <c r="N75" s="53" t="s">
        <v>113</v>
      </c>
      <c r="O75" s="51" t="s">
        <v>212</v>
      </c>
      <c r="P75" s="248" t="str">
        <f>IFERROR(VLOOKUP(C75,TD!$B$33:$F$37,2,0)," ")</f>
        <v>O230117</v>
      </c>
      <c r="Q75" s="248" t="str">
        <f>IFERROR(VLOOKUP(C75,TD!$B$33:$F$37,3,0)," ")</f>
        <v>4599</v>
      </c>
      <c r="R75" s="248">
        <f>IFERROR(VLOOKUP(C75,TD!$B$33:$F$37,4,0)," ")</f>
        <v>20240207</v>
      </c>
      <c r="S75" s="51" t="s">
        <v>193</v>
      </c>
      <c r="T75" s="248" t="str">
        <f>IFERROR(VLOOKUP(S75,TD!$J$34:$K$44,2,0)," ")</f>
        <v>Servicios para la planeación y sistemas de gestión y comunicación estratégica</v>
      </c>
      <c r="U75" s="249" t="str">
        <f>CONCATENATE(S75,"-",T75)</f>
        <v>13-Servicios para la planeación y sistemas de gestión y comunicación estratégica</v>
      </c>
      <c r="V75" s="51" t="s">
        <v>241</v>
      </c>
      <c r="W75" s="248" t="str">
        <f>IFERROR(VLOOKUP(V75,TD!$N$34:$O$46,2,0)," ")</f>
        <v>Servicio de Implementación Sistemas de Gestión</v>
      </c>
      <c r="X75" s="249" t="str">
        <f>CONCATENATE(V75,"_",W75)</f>
        <v>023_Servicio de Implementación Sistemas de Gestión</v>
      </c>
      <c r="Y75" s="249" t="str">
        <f>CONCATENATE(U75," ",X75)</f>
        <v>13-Servicios para la planeación y sistemas de gestión y comunicación estratégica 023_Servicio de Implementación Sistemas de Gestión</v>
      </c>
      <c r="Z75" s="248" t="str">
        <f>CONCATENATE(P75,Q75,R75,S75,V75)</f>
        <v>O23011745992024020713023</v>
      </c>
      <c r="AA75" s="248" t="str">
        <f>IFERROR(VLOOKUP(Y75,TD!$K$47:$L$65,2,0)," ")</f>
        <v>PM/0131/0113/45990230207</v>
      </c>
      <c r="AB75" s="53" t="s">
        <v>138</v>
      </c>
      <c r="AC75" s="250" t="s">
        <v>204</v>
      </c>
    </row>
    <row r="76" spans="2:29" s="28" customFormat="1" ht="56" x14ac:dyDescent="0.35">
      <c r="B76" s="77">
        <v>20250061</v>
      </c>
      <c r="C76" s="50" t="s">
        <v>208</v>
      </c>
      <c r="D76" s="246" t="s">
        <v>36</v>
      </c>
      <c r="E76" s="51" t="s">
        <v>378</v>
      </c>
      <c r="F76" s="246" t="s">
        <v>477</v>
      </c>
      <c r="G76" s="246" t="s">
        <v>155</v>
      </c>
      <c r="H76" s="93">
        <v>80111600</v>
      </c>
      <c r="I76" s="247">
        <v>2</v>
      </c>
      <c r="J76" s="247">
        <v>6</v>
      </c>
      <c r="K76" s="52">
        <v>0</v>
      </c>
      <c r="L76" s="53">
        <v>42000000</v>
      </c>
      <c r="M76" s="246" t="s">
        <v>464</v>
      </c>
      <c r="N76" s="53" t="s">
        <v>113</v>
      </c>
      <c r="O76" s="51" t="s">
        <v>212</v>
      </c>
      <c r="P76" s="248" t="str">
        <f>IFERROR(VLOOKUP(C76,TD!$B$33:$F$37,2,0)," ")</f>
        <v>O230117</v>
      </c>
      <c r="Q76" s="248" t="str">
        <f>IFERROR(VLOOKUP(C76,TD!$B$33:$F$37,3,0)," ")</f>
        <v>4599</v>
      </c>
      <c r="R76" s="248">
        <f>IFERROR(VLOOKUP(C76,TD!$B$33:$F$37,4,0)," ")</f>
        <v>20240207</v>
      </c>
      <c r="S76" s="51" t="s">
        <v>193</v>
      </c>
      <c r="T76" s="248" t="str">
        <f>IFERROR(VLOOKUP(S76,TD!$J$34:$K$44,2,0)," ")</f>
        <v>Servicios para la planeación y sistemas de gestión y comunicación estratégica</v>
      </c>
      <c r="U76" s="249" t="str">
        <f>CONCATENATE(S76,"-",T76)</f>
        <v>13-Servicios para la planeación y sistemas de gestión y comunicación estratégica</v>
      </c>
      <c r="V76" s="51" t="s">
        <v>241</v>
      </c>
      <c r="W76" s="248" t="str">
        <f>IFERROR(VLOOKUP(V76,TD!$N$34:$O$46,2,0)," ")</f>
        <v>Servicio de Implementación Sistemas de Gestión</v>
      </c>
      <c r="X76" s="249" t="str">
        <f>CONCATENATE(V76,"_",W76)</f>
        <v>023_Servicio de Implementación Sistemas de Gestión</v>
      </c>
      <c r="Y76" s="249" t="str">
        <f>CONCATENATE(U76," ",X76)</f>
        <v>13-Servicios para la planeación y sistemas de gestión y comunicación estratégica 023_Servicio de Implementación Sistemas de Gestión</v>
      </c>
      <c r="Z76" s="248" t="str">
        <f>CONCATENATE(P76,Q76,R76,S76,V76)</f>
        <v>O23011745992024020713023</v>
      </c>
      <c r="AA76" s="248" t="str">
        <f>IFERROR(VLOOKUP(Y76,TD!$K$47:$L$65,2,0)," ")</f>
        <v>PM/0131/0113/45990230207</v>
      </c>
      <c r="AB76" s="53" t="s">
        <v>138</v>
      </c>
      <c r="AC76" s="250" t="s">
        <v>204</v>
      </c>
    </row>
    <row r="77" spans="2:29" s="28" customFormat="1" ht="56" x14ac:dyDescent="0.35">
      <c r="B77" s="77">
        <v>20250062</v>
      </c>
      <c r="C77" s="50" t="s">
        <v>208</v>
      </c>
      <c r="D77" s="246" t="s">
        <v>36</v>
      </c>
      <c r="E77" s="51" t="s">
        <v>378</v>
      </c>
      <c r="F77" s="246" t="s">
        <v>478</v>
      </c>
      <c r="G77" s="246" t="s">
        <v>155</v>
      </c>
      <c r="H77" s="93">
        <v>80111600</v>
      </c>
      <c r="I77" s="247">
        <v>2</v>
      </c>
      <c r="J77" s="247">
        <v>11</v>
      </c>
      <c r="K77" s="52">
        <v>0</v>
      </c>
      <c r="L77" s="53">
        <v>93500000</v>
      </c>
      <c r="M77" s="246" t="s">
        <v>464</v>
      </c>
      <c r="N77" s="53" t="s">
        <v>113</v>
      </c>
      <c r="O77" s="51" t="s">
        <v>211</v>
      </c>
      <c r="P77" s="248" t="str">
        <f>IFERROR(VLOOKUP(C77,TD!$B$33:$F$37,2,0)," ")</f>
        <v>O230117</v>
      </c>
      <c r="Q77" s="248" t="str">
        <f>IFERROR(VLOOKUP(C77,TD!$B$33:$F$37,3,0)," ")</f>
        <v>4599</v>
      </c>
      <c r="R77" s="248">
        <f>IFERROR(VLOOKUP(C77,TD!$B$33:$F$37,4,0)," ")</f>
        <v>20240207</v>
      </c>
      <c r="S77" s="51" t="s">
        <v>193</v>
      </c>
      <c r="T77" s="248" t="str">
        <f>IFERROR(VLOOKUP(S77,TD!$J$34:$K$44,2,0)," ")</f>
        <v>Servicios para la planeación y sistemas de gestión y comunicación estratégica</v>
      </c>
      <c r="U77" s="249" t="str">
        <f>CONCATENATE(S77,"-",T77)</f>
        <v>13-Servicios para la planeación y sistemas de gestión y comunicación estratégica</v>
      </c>
      <c r="V77" s="51" t="s">
        <v>241</v>
      </c>
      <c r="W77" s="248" t="str">
        <f>IFERROR(VLOOKUP(V77,TD!$N$34:$O$46,2,0)," ")</f>
        <v>Servicio de Implementación Sistemas de Gestión</v>
      </c>
      <c r="X77" s="249" t="str">
        <f>CONCATENATE(V77,"_",W77)</f>
        <v>023_Servicio de Implementación Sistemas de Gestión</v>
      </c>
      <c r="Y77" s="249" t="str">
        <f>CONCATENATE(U77," ",X77)</f>
        <v>13-Servicios para la planeación y sistemas de gestión y comunicación estratégica 023_Servicio de Implementación Sistemas de Gestión</v>
      </c>
      <c r="Z77" s="248" t="str">
        <f>CONCATENATE(P77,Q77,R77,S77,V77)</f>
        <v>O23011745992024020713023</v>
      </c>
      <c r="AA77" s="248" t="str">
        <f>IFERROR(VLOOKUP(Y77,TD!$K$47:$L$65,2,0)," ")</f>
        <v>PM/0131/0113/45990230207</v>
      </c>
      <c r="AB77" s="53" t="s">
        <v>138</v>
      </c>
      <c r="AC77" s="250" t="s">
        <v>204</v>
      </c>
    </row>
    <row r="78" spans="2:29" s="28" customFormat="1" ht="56" x14ac:dyDescent="0.35">
      <c r="B78" s="77">
        <v>20250063</v>
      </c>
      <c r="C78" s="50" t="s">
        <v>208</v>
      </c>
      <c r="D78" s="246" t="s">
        <v>36</v>
      </c>
      <c r="E78" s="51" t="s">
        <v>378</v>
      </c>
      <c r="F78" s="246" t="s">
        <v>445</v>
      </c>
      <c r="G78" s="246" t="s">
        <v>156</v>
      </c>
      <c r="H78" s="93">
        <v>80111600</v>
      </c>
      <c r="I78" s="247">
        <v>2</v>
      </c>
      <c r="J78" s="247">
        <v>9</v>
      </c>
      <c r="K78" s="52">
        <v>0</v>
      </c>
      <c r="L78" s="53">
        <v>40417344</v>
      </c>
      <c r="M78" s="246" t="s">
        <v>464</v>
      </c>
      <c r="N78" s="53" t="s">
        <v>113</v>
      </c>
      <c r="O78" s="51" t="s">
        <v>211</v>
      </c>
      <c r="P78" s="248" t="str">
        <f>IFERROR(VLOOKUP(C78,TD!$B$33:$F$37,2,0)," ")</f>
        <v>O230117</v>
      </c>
      <c r="Q78" s="248" t="str">
        <f>IFERROR(VLOOKUP(C78,TD!$B$33:$F$37,3,0)," ")</f>
        <v>4599</v>
      </c>
      <c r="R78" s="248">
        <f>IFERROR(VLOOKUP(C78,TD!$B$33:$F$37,4,0)," ")</f>
        <v>20240207</v>
      </c>
      <c r="S78" s="51" t="s">
        <v>193</v>
      </c>
      <c r="T78" s="248" t="str">
        <f>IFERROR(VLOOKUP(S78,TD!$J$34:$K$44,2,0)," ")</f>
        <v>Servicios para la planeación y sistemas de gestión y comunicación estratégica</v>
      </c>
      <c r="U78" s="249" t="str">
        <f>CONCATENATE(S78,"-",T78)</f>
        <v>13-Servicios para la planeación y sistemas de gestión y comunicación estratégica</v>
      </c>
      <c r="V78" s="51" t="s">
        <v>241</v>
      </c>
      <c r="W78" s="248" t="str">
        <f>IFERROR(VLOOKUP(V78,TD!$N$34:$O$46,2,0)," ")</f>
        <v>Servicio de Implementación Sistemas de Gestión</v>
      </c>
      <c r="X78" s="249" t="str">
        <f>CONCATENATE(V78,"_",W78)</f>
        <v>023_Servicio de Implementación Sistemas de Gestión</v>
      </c>
      <c r="Y78" s="249" t="str">
        <f>CONCATENATE(U78," ",X78)</f>
        <v>13-Servicios para la planeación y sistemas de gestión y comunicación estratégica 023_Servicio de Implementación Sistemas de Gestión</v>
      </c>
      <c r="Z78" s="248" t="str">
        <f>CONCATENATE(P78,Q78,R78,S78,V78)</f>
        <v>O23011745992024020713023</v>
      </c>
      <c r="AA78" s="248" t="str">
        <f>IFERROR(VLOOKUP(Y78,TD!$K$47:$L$65,2,0)," ")</f>
        <v>PM/0131/0113/45990230207</v>
      </c>
      <c r="AB78" s="53" t="s">
        <v>138</v>
      </c>
      <c r="AC78" s="250" t="s">
        <v>204</v>
      </c>
    </row>
    <row r="79" spans="2:29" s="28" customFormat="1" ht="56" x14ac:dyDescent="0.35">
      <c r="B79" s="77">
        <v>20250064</v>
      </c>
      <c r="C79" s="50" t="s">
        <v>208</v>
      </c>
      <c r="D79" s="246" t="s">
        <v>36</v>
      </c>
      <c r="E79" s="51" t="s">
        <v>378</v>
      </c>
      <c r="F79" s="246" t="s">
        <v>479</v>
      </c>
      <c r="G79" s="246" t="s">
        <v>155</v>
      </c>
      <c r="H79" s="93">
        <v>80111600</v>
      </c>
      <c r="I79" s="247">
        <v>3</v>
      </c>
      <c r="J79" s="247">
        <v>10</v>
      </c>
      <c r="K79" s="52">
        <v>0</v>
      </c>
      <c r="L79" s="53">
        <v>65000000</v>
      </c>
      <c r="M79" s="246" t="s">
        <v>464</v>
      </c>
      <c r="N79" s="53" t="s">
        <v>113</v>
      </c>
      <c r="O79" s="51" t="s">
        <v>211</v>
      </c>
      <c r="P79" s="248" t="str">
        <f>IFERROR(VLOOKUP(C79,TD!$B$33:$F$37,2,0)," ")</f>
        <v>O230117</v>
      </c>
      <c r="Q79" s="248" t="str">
        <f>IFERROR(VLOOKUP(C79,TD!$B$33:$F$37,3,0)," ")</f>
        <v>4599</v>
      </c>
      <c r="R79" s="248">
        <f>IFERROR(VLOOKUP(C79,TD!$B$33:$F$37,4,0)," ")</f>
        <v>20240207</v>
      </c>
      <c r="S79" s="51" t="s">
        <v>193</v>
      </c>
      <c r="T79" s="248" t="str">
        <f>IFERROR(VLOOKUP(S79,TD!$J$34:$K$44,2,0)," ")</f>
        <v>Servicios para la planeación y sistemas de gestión y comunicación estratégica</v>
      </c>
      <c r="U79" s="249" t="str">
        <f>CONCATENATE(S79,"-",T79)</f>
        <v>13-Servicios para la planeación y sistemas de gestión y comunicación estratégica</v>
      </c>
      <c r="V79" s="51" t="s">
        <v>241</v>
      </c>
      <c r="W79" s="248" t="str">
        <f>IFERROR(VLOOKUP(V79,TD!$N$34:$O$46,2,0)," ")</f>
        <v>Servicio de Implementación Sistemas de Gestión</v>
      </c>
      <c r="X79" s="249" t="str">
        <f>CONCATENATE(V79,"_",W79)</f>
        <v>023_Servicio de Implementación Sistemas de Gestión</v>
      </c>
      <c r="Y79" s="249" t="str">
        <f>CONCATENATE(U79," ",X79)</f>
        <v>13-Servicios para la planeación y sistemas de gestión y comunicación estratégica 023_Servicio de Implementación Sistemas de Gestión</v>
      </c>
      <c r="Z79" s="248" t="str">
        <f>CONCATENATE(P79,Q79,R79,S79,V79)</f>
        <v>O23011745992024020713023</v>
      </c>
      <c r="AA79" s="248" t="str">
        <f>IFERROR(VLOOKUP(Y79,TD!$K$47:$L$65,2,0)," ")</f>
        <v>PM/0131/0113/45990230207</v>
      </c>
      <c r="AB79" s="53" t="s">
        <v>138</v>
      </c>
      <c r="AC79" s="250" t="s">
        <v>204</v>
      </c>
    </row>
    <row r="80" spans="2:29" s="28" customFormat="1" ht="84" x14ac:dyDescent="0.35">
      <c r="B80" s="77">
        <v>20250065</v>
      </c>
      <c r="C80" s="50" t="s">
        <v>208</v>
      </c>
      <c r="D80" s="246" t="s">
        <v>36</v>
      </c>
      <c r="E80" s="51" t="s">
        <v>378</v>
      </c>
      <c r="F80" s="246" t="s">
        <v>480</v>
      </c>
      <c r="G80" s="246" t="s">
        <v>155</v>
      </c>
      <c r="H80" s="93">
        <v>80111600</v>
      </c>
      <c r="I80" s="247">
        <v>3</v>
      </c>
      <c r="J80" s="247">
        <v>6</v>
      </c>
      <c r="K80" s="52">
        <v>0</v>
      </c>
      <c r="L80" s="53">
        <v>35000000</v>
      </c>
      <c r="M80" s="246" t="s">
        <v>464</v>
      </c>
      <c r="N80" s="53" t="s">
        <v>113</v>
      </c>
      <c r="O80" s="51" t="s">
        <v>211</v>
      </c>
      <c r="P80" s="248" t="str">
        <f>IFERROR(VLOOKUP(C80,TD!$B$33:$F$37,2,0)," ")</f>
        <v>O230117</v>
      </c>
      <c r="Q80" s="248" t="str">
        <f>IFERROR(VLOOKUP(C80,TD!$B$33:$F$37,3,0)," ")</f>
        <v>4599</v>
      </c>
      <c r="R80" s="248">
        <f>IFERROR(VLOOKUP(C80,TD!$B$33:$F$37,4,0)," ")</f>
        <v>20240207</v>
      </c>
      <c r="S80" s="51" t="s">
        <v>193</v>
      </c>
      <c r="T80" s="248" t="str">
        <f>IFERROR(VLOOKUP(S80,TD!$J$34:$K$44,2,0)," ")</f>
        <v>Servicios para la planeación y sistemas de gestión y comunicación estratégica</v>
      </c>
      <c r="U80" s="249" t="str">
        <f>CONCATENATE(S80,"-",T80)</f>
        <v>13-Servicios para la planeación y sistemas de gestión y comunicación estratégica</v>
      </c>
      <c r="V80" s="51" t="s">
        <v>241</v>
      </c>
      <c r="W80" s="248" t="str">
        <f>IFERROR(VLOOKUP(V80,TD!$N$34:$O$46,2,0)," ")</f>
        <v>Servicio de Implementación Sistemas de Gestión</v>
      </c>
      <c r="X80" s="249" t="str">
        <f>CONCATENATE(V80,"_",W80)</f>
        <v>023_Servicio de Implementación Sistemas de Gestión</v>
      </c>
      <c r="Y80" s="249" t="str">
        <f>CONCATENATE(U80," ",X80)</f>
        <v>13-Servicios para la planeación y sistemas de gestión y comunicación estratégica 023_Servicio de Implementación Sistemas de Gestión</v>
      </c>
      <c r="Z80" s="248" t="str">
        <f>CONCATENATE(P80,Q80,R80,S80,V80)</f>
        <v>O23011745992024020713023</v>
      </c>
      <c r="AA80" s="248" t="str">
        <f>IFERROR(VLOOKUP(Y80,TD!$K$47:$L$65,2,0)," ")</f>
        <v>PM/0131/0113/45990230207</v>
      </c>
      <c r="AB80" s="53" t="s">
        <v>138</v>
      </c>
      <c r="AC80" s="250" t="s">
        <v>204</v>
      </c>
    </row>
    <row r="81" spans="2:29" s="28" customFormat="1" ht="56" x14ac:dyDescent="0.35">
      <c r="B81" s="77">
        <v>20250067</v>
      </c>
      <c r="C81" s="50" t="s">
        <v>208</v>
      </c>
      <c r="D81" s="246" t="s">
        <v>45</v>
      </c>
      <c r="E81" s="51" t="s">
        <v>355</v>
      </c>
      <c r="F81" s="246" t="s">
        <v>357</v>
      </c>
      <c r="G81" s="246" t="s">
        <v>155</v>
      </c>
      <c r="H81" s="93">
        <v>80111600</v>
      </c>
      <c r="I81" s="247">
        <v>2</v>
      </c>
      <c r="J81" s="247">
        <v>11</v>
      </c>
      <c r="K81" s="52">
        <v>0</v>
      </c>
      <c r="L81" s="53">
        <v>57200000</v>
      </c>
      <c r="M81" s="246" t="s">
        <v>464</v>
      </c>
      <c r="N81" s="53" t="s">
        <v>113</v>
      </c>
      <c r="O81" s="51" t="s">
        <v>219</v>
      </c>
      <c r="P81" s="248" t="str">
        <f>IFERROR(VLOOKUP(C81,TD!$B$33:$F$37,2,0)," ")</f>
        <v>O230117</v>
      </c>
      <c r="Q81" s="248" t="str">
        <f>IFERROR(VLOOKUP(C81,TD!$B$33:$F$37,3,0)," ")</f>
        <v>4599</v>
      </c>
      <c r="R81" s="248">
        <f>IFERROR(VLOOKUP(C81,TD!$B$33:$F$37,4,0)," ")</f>
        <v>20240207</v>
      </c>
      <c r="S81" s="51" t="s">
        <v>185</v>
      </c>
      <c r="T81" s="248" t="str">
        <f>IFERROR(VLOOKUP(S81,TD!$J$34:$K$44,2,0)," ")</f>
        <v>Infraestructura física, mantenimiento y dotación (Sedes construidas, mantenidas reforzadas)</v>
      </c>
      <c r="U81" s="249" t="str">
        <f>CONCATENATE(S81,"-",T81)</f>
        <v>08-Infraestructura física, mantenimiento y dotación (Sedes construidas, mantenidas reforzadas)</v>
      </c>
      <c r="V81" s="51" t="s">
        <v>238</v>
      </c>
      <c r="W81" s="248" t="str">
        <f>IFERROR(VLOOKUP(V81,TD!$N$34:$O$46,2,0)," ")</f>
        <v>Sedes mantenidas</v>
      </c>
      <c r="X81" s="249" t="str">
        <f>CONCATENATE(V81,"_",W81)</f>
        <v>016_Sedes mantenidas</v>
      </c>
      <c r="Y81" s="249" t="str">
        <f>CONCATENATE(U81," ",X81)</f>
        <v>08-Infraestructura física, mantenimiento y dotación (Sedes construidas, mantenidas reforzadas) 016_Sedes mantenidas</v>
      </c>
      <c r="Z81" s="248" t="str">
        <f>CONCATENATE(P81,Q81,R81,S81,V81)</f>
        <v>O23011745992024020708016</v>
      </c>
      <c r="AA81" s="248" t="str">
        <f>IFERROR(VLOOKUP(Y81,TD!$K$47:$L$65,2,0)," ")</f>
        <v>PM/0131/0108/45990160207</v>
      </c>
      <c r="AB81" s="53" t="s">
        <v>120</v>
      </c>
      <c r="AC81" s="250" t="s">
        <v>204</v>
      </c>
    </row>
    <row r="82" spans="2:29" s="28" customFormat="1" ht="70" x14ac:dyDescent="0.35">
      <c r="B82" s="77">
        <v>20250068</v>
      </c>
      <c r="C82" s="50" t="s">
        <v>208</v>
      </c>
      <c r="D82" s="246" t="s">
        <v>45</v>
      </c>
      <c r="E82" s="51" t="s">
        <v>355</v>
      </c>
      <c r="F82" s="246" t="s">
        <v>1246</v>
      </c>
      <c r="G82" s="246" t="s">
        <v>155</v>
      </c>
      <c r="H82" s="93">
        <v>80111600</v>
      </c>
      <c r="I82" s="247">
        <v>10</v>
      </c>
      <c r="J82" s="247">
        <v>3</v>
      </c>
      <c r="K82" s="52">
        <v>0</v>
      </c>
      <c r="L82" s="53">
        <v>24000000</v>
      </c>
      <c r="M82" s="246" t="s">
        <v>464</v>
      </c>
      <c r="N82" s="53" t="s">
        <v>113</v>
      </c>
      <c r="O82" s="51" t="s">
        <v>219</v>
      </c>
      <c r="P82" s="248" t="str">
        <f>IFERROR(VLOOKUP(C82,TD!$B$33:$F$37,2,0)," ")</f>
        <v>O230117</v>
      </c>
      <c r="Q82" s="248" t="str">
        <f>IFERROR(VLOOKUP(C82,TD!$B$33:$F$37,3,0)," ")</f>
        <v>4599</v>
      </c>
      <c r="R82" s="248">
        <f>IFERROR(VLOOKUP(C82,TD!$B$33:$F$37,4,0)," ")</f>
        <v>20240207</v>
      </c>
      <c r="S82" s="51" t="s">
        <v>185</v>
      </c>
      <c r="T82" s="248" t="str">
        <f>IFERROR(VLOOKUP(S82,TD!$J$34:$K$44,2,0)," ")</f>
        <v>Infraestructura física, mantenimiento y dotación (Sedes construidas, mantenidas reforzadas)</v>
      </c>
      <c r="U82" s="249" t="str">
        <f>CONCATENATE(S82,"-",T82)</f>
        <v>08-Infraestructura física, mantenimiento y dotación (Sedes construidas, mantenidas reforzadas)</v>
      </c>
      <c r="V82" s="51" t="s">
        <v>238</v>
      </c>
      <c r="W82" s="248" t="str">
        <f>IFERROR(VLOOKUP(V82,TD!$N$34:$O$46,2,0)," ")</f>
        <v>Sedes mantenidas</v>
      </c>
      <c r="X82" s="249" t="str">
        <f>CONCATENATE(V82,"_",W82)</f>
        <v>016_Sedes mantenidas</v>
      </c>
      <c r="Y82" s="249" t="str">
        <f>CONCATENATE(U82," ",X82)</f>
        <v>08-Infraestructura física, mantenimiento y dotación (Sedes construidas, mantenidas reforzadas) 016_Sedes mantenidas</v>
      </c>
      <c r="Z82" s="248" t="str">
        <f>CONCATENATE(P82,Q82,R82,S82,V82)</f>
        <v>O23011745992024020708016</v>
      </c>
      <c r="AA82" s="248" t="str">
        <f>IFERROR(VLOOKUP(Y82,TD!$K$47:$L$65,2,0)," ")</f>
        <v>PM/0131/0108/45990160207</v>
      </c>
      <c r="AB82" s="53" t="s">
        <v>120</v>
      </c>
      <c r="AC82" s="250" t="s">
        <v>204</v>
      </c>
    </row>
    <row r="83" spans="2:29" s="28" customFormat="1" ht="70" x14ac:dyDescent="0.35">
      <c r="B83" s="77">
        <v>20250069</v>
      </c>
      <c r="C83" s="50" t="s">
        <v>208</v>
      </c>
      <c r="D83" s="246" t="s">
        <v>45</v>
      </c>
      <c r="E83" s="51" t="s">
        <v>355</v>
      </c>
      <c r="F83" s="246" t="s">
        <v>356</v>
      </c>
      <c r="G83" s="246" t="s">
        <v>155</v>
      </c>
      <c r="H83" s="93">
        <v>80111600</v>
      </c>
      <c r="I83" s="247">
        <v>2</v>
      </c>
      <c r="J83" s="247">
        <v>11</v>
      </c>
      <c r="K83" s="52">
        <v>0</v>
      </c>
      <c r="L83" s="53">
        <v>82500000</v>
      </c>
      <c r="M83" s="246" t="s">
        <v>464</v>
      </c>
      <c r="N83" s="53" t="s">
        <v>113</v>
      </c>
      <c r="O83" s="51" t="s">
        <v>219</v>
      </c>
      <c r="P83" s="248" t="str">
        <f>IFERROR(VLOOKUP(C83,TD!$B$33:$F$37,2,0)," ")</f>
        <v>O230117</v>
      </c>
      <c r="Q83" s="248" t="str">
        <f>IFERROR(VLOOKUP(C83,TD!$B$33:$F$37,3,0)," ")</f>
        <v>4599</v>
      </c>
      <c r="R83" s="248">
        <f>IFERROR(VLOOKUP(C83,TD!$B$33:$F$37,4,0)," ")</f>
        <v>20240207</v>
      </c>
      <c r="S83" s="51" t="s">
        <v>185</v>
      </c>
      <c r="T83" s="248" t="str">
        <f>IFERROR(VLOOKUP(S83,TD!$J$34:$K$44,2,0)," ")</f>
        <v>Infraestructura física, mantenimiento y dotación (Sedes construidas, mantenidas reforzadas)</v>
      </c>
      <c r="U83" s="249" t="str">
        <f>CONCATENATE(S83,"-",T83)</f>
        <v>08-Infraestructura física, mantenimiento y dotación (Sedes construidas, mantenidas reforzadas)</v>
      </c>
      <c r="V83" s="51" t="s">
        <v>238</v>
      </c>
      <c r="W83" s="248" t="str">
        <f>IFERROR(VLOOKUP(V83,TD!$N$34:$O$46,2,0)," ")</f>
        <v>Sedes mantenidas</v>
      </c>
      <c r="X83" s="249" t="str">
        <f>CONCATENATE(V83,"_",W83)</f>
        <v>016_Sedes mantenidas</v>
      </c>
      <c r="Y83" s="249" t="str">
        <f>CONCATENATE(U83," ",X83)</f>
        <v>08-Infraestructura física, mantenimiento y dotación (Sedes construidas, mantenidas reforzadas) 016_Sedes mantenidas</v>
      </c>
      <c r="Z83" s="248" t="str">
        <f>CONCATENATE(P83,Q83,R83,S83,V83)</f>
        <v>O23011745992024020708016</v>
      </c>
      <c r="AA83" s="248" t="str">
        <f>IFERROR(VLOOKUP(Y83,TD!$K$47:$L$65,2,0)," ")</f>
        <v>PM/0131/0108/45990160207</v>
      </c>
      <c r="AB83" s="53" t="s">
        <v>138</v>
      </c>
      <c r="AC83" s="250" t="s">
        <v>204</v>
      </c>
    </row>
    <row r="84" spans="2:29" s="28" customFormat="1" ht="56" x14ac:dyDescent="0.35">
      <c r="B84" s="77">
        <v>20250070</v>
      </c>
      <c r="C84" s="50" t="s">
        <v>208</v>
      </c>
      <c r="D84" s="246" t="s">
        <v>45</v>
      </c>
      <c r="E84" s="51" t="s">
        <v>355</v>
      </c>
      <c r="F84" s="246" t="s">
        <v>481</v>
      </c>
      <c r="G84" s="246" t="s">
        <v>155</v>
      </c>
      <c r="H84" s="93">
        <v>80111600</v>
      </c>
      <c r="I84" s="247">
        <v>2</v>
      </c>
      <c r="J84" s="247">
        <v>11</v>
      </c>
      <c r="K84" s="52">
        <v>0</v>
      </c>
      <c r="L84" s="53">
        <v>107800000</v>
      </c>
      <c r="M84" s="246" t="s">
        <v>464</v>
      </c>
      <c r="N84" s="53" t="s">
        <v>113</v>
      </c>
      <c r="O84" s="51" t="s">
        <v>219</v>
      </c>
      <c r="P84" s="248" t="str">
        <f>IFERROR(VLOOKUP(C84,TD!$B$33:$F$37,2,0)," ")</f>
        <v>O230117</v>
      </c>
      <c r="Q84" s="248" t="str">
        <f>IFERROR(VLOOKUP(C84,TD!$B$33:$F$37,3,0)," ")</f>
        <v>4599</v>
      </c>
      <c r="R84" s="248">
        <f>IFERROR(VLOOKUP(C84,TD!$B$33:$F$37,4,0)," ")</f>
        <v>20240207</v>
      </c>
      <c r="S84" s="51" t="s">
        <v>185</v>
      </c>
      <c r="T84" s="248" t="str">
        <f>IFERROR(VLOOKUP(S84,TD!$J$34:$K$44,2,0)," ")</f>
        <v>Infraestructura física, mantenimiento y dotación (Sedes construidas, mantenidas reforzadas)</v>
      </c>
      <c r="U84" s="249" t="str">
        <f>CONCATENATE(S84,"-",T84)</f>
        <v>08-Infraestructura física, mantenimiento y dotación (Sedes construidas, mantenidas reforzadas)</v>
      </c>
      <c r="V84" s="51" t="s">
        <v>238</v>
      </c>
      <c r="W84" s="248" t="str">
        <f>IFERROR(VLOOKUP(V84,TD!$N$34:$O$46,2,0)," ")</f>
        <v>Sedes mantenidas</v>
      </c>
      <c r="X84" s="249" t="str">
        <f>CONCATENATE(V84,"_",W84)</f>
        <v>016_Sedes mantenidas</v>
      </c>
      <c r="Y84" s="249" t="str">
        <f>CONCATENATE(U84," ",X84)</f>
        <v>08-Infraestructura física, mantenimiento y dotación (Sedes construidas, mantenidas reforzadas) 016_Sedes mantenidas</v>
      </c>
      <c r="Z84" s="248" t="str">
        <f>CONCATENATE(P84,Q84,R84,S84,V84)</f>
        <v>O23011745992024020708016</v>
      </c>
      <c r="AA84" s="248" t="str">
        <f>IFERROR(VLOOKUP(Y84,TD!$K$47:$L$65,2,0)," ")</f>
        <v>PM/0131/0108/45990160207</v>
      </c>
      <c r="AB84" s="53" t="s">
        <v>138</v>
      </c>
      <c r="AC84" s="250" t="s">
        <v>204</v>
      </c>
    </row>
    <row r="85" spans="2:29" s="28" customFormat="1" ht="56" x14ac:dyDescent="0.35">
      <c r="B85" s="77">
        <v>20250071</v>
      </c>
      <c r="C85" s="50" t="s">
        <v>208</v>
      </c>
      <c r="D85" s="246" t="s">
        <v>45</v>
      </c>
      <c r="E85" s="51" t="s">
        <v>355</v>
      </c>
      <c r="F85" s="246" t="s">
        <v>482</v>
      </c>
      <c r="G85" s="246" t="s">
        <v>155</v>
      </c>
      <c r="H85" s="93">
        <v>80111600</v>
      </c>
      <c r="I85" s="247">
        <v>2</v>
      </c>
      <c r="J85" s="247">
        <v>11</v>
      </c>
      <c r="K85" s="52">
        <v>0</v>
      </c>
      <c r="L85" s="53">
        <v>110000000</v>
      </c>
      <c r="M85" s="246" t="s">
        <v>464</v>
      </c>
      <c r="N85" s="53" t="s">
        <v>113</v>
      </c>
      <c r="O85" s="51" t="s">
        <v>219</v>
      </c>
      <c r="P85" s="248" t="str">
        <f>IFERROR(VLOOKUP(C85,TD!$B$33:$F$37,2,0)," ")</f>
        <v>O230117</v>
      </c>
      <c r="Q85" s="248" t="str">
        <f>IFERROR(VLOOKUP(C85,TD!$B$33:$F$37,3,0)," ")</f>
        <v>4599</v>
      </c>
      <c r="R85" s="248">
        <f>IFERROR(VLOOKUP(C85,TD!$B$33:$F$37,4,0)," ")</f>
        <v>20240207</v>
      </c>
      <c r="S85" s="51" t="s">
        <v>185</v>
      </c>
      <c r="T85" s="248" t="str">
        <f>IFERROR(VLOOKUP(S85,TD!$J$34:$K$44,2,0)," ")</f>
        <v>Infraestructura física, mantenimiento y dotación (Sedes construidas, mantenidas reforzadas)</v>
      </c>
      <c r="U85" s="249" t="str">
        <f>CONCATENATE(S85,"-",T85)</f>
        <v>08-Infraestructura física, mantenimiento y dotación (Sedes construidas, mantenidas reforzadas)</v>
      </c>
      <c r="V85" s="51" t="s">
        <v>238</v>
      </c>
      <c r="W85" s="248" t="str">
        <f>IFERROR(VLOOKUP(V85,TD!$N$34:$O$46,2,0)," ")</f>
        <v>Sedes mantenidas</v>
      </c>
      <c r="X85" s="249" t="str">
        <f>CONCATENATE(V85,"_",W85)</f>
        <v>016_Sedes mantenidas</v>
      </c>
      <c r="Y85" s="249" t="str">
        <f>CONCATENATE(U85," ",X85)</f>
        <v>08-Infraestructura física, mantenimiento y dotación (Sedes construidas, mantenidas reforzadas) 016_Sedes mantenidas</v>
      </c>
      <c r="Z85" s="248" t="str">
        <f>CONCATENATE(P85,Q85,R85,S85,V85)</f>
        <v>O23011745992024020708016</v>
      </c>
      <c r="AA85" s="248" t="str">
        <f>IFERROR(VLOOKUP(Y85,TD!$K$47:$L$65,2,0)," ")</f>
        <v>PM/0131/0108/45990160207</v>
      </c>
      <c r="AB85" s="53" t="s">
        <v>120</v>
      </c>
      <c r="AC85" s="250" t="s">
        <v>204</v>
      </c>
    </row>
    <row r="86" spans="2:29" s="28" customFormat="1" ht="56" x14ac:dyDescent="0.35">
      <c r="B86" s="77">
        <v>20250072</v>
      </c>
      <c r="C86" s="50" t="s">
        <v>208</v>
      </c>
      <c r="D86" s="246" t="s">
        <v>45</v>
      </c>
      <c r="E86" s="51" t="s">
        <v>355</v>
      </c>
      <c r="F86" s="246" t="s">
        <v>358</v>
      </c>
      <c r="G86" s="246" t="s">
        <v>155</v>
      </c>
      <c r="H86" s="93">
        <v>80111600</v>
      </c>
      <c r="I86" s="247">
        <v>2</v>
      </c>
      <c r="J86" s="247">
        <v>11</v>
      </c>
      <c r="K86" s="52">
        <v>0</v>
      </c>
      <c r="L86" s="53">
        <v>57200000</v>
      </c>
      <c r="M86" s="246" t="s">
        <v>464</v>
      </c>
      <c r="N86" s="53" t="s">
        <v>113</v>
      </c>
      <c r="O86" s="51" t="s">
        <v>219</v>
      </c>
      <c r="P86" s="248" t="str">
        <f>IFERROR(VLOOKUP(C86,TD!$B$33:$F$37,2,0)," ")</f>
        <v>O230117</v>
      </c>
      <c r="Q86" s="248" t="str">
        <f>IFERROR(VLOOKUP(C86,TD!$B$33:$F$37,3,0)," ")</f>
        <v>4599</v>
      </c>
      <c r="R86" s="248">
        <f>IFERROR(VLOOKUP(C86,TD!$B$33:$F$37,4,0)," ")</f>
        <v>20240207</v>
      </c>
      <c r="S86" s="51" t="s">
        <v>185</v>
      </c>
      <c r="T86" s="248" t="str">
        <f>IFERROR(VLOOKUP(S86,TD!$J$34:$K$44,2,0)," ")</f>
        <v>Infraestructura física, mantenimiento y dotación (Sedes construidas, mantenidas reforzadas)</v>
      </c>
      <c r="U86" s="249" t="str">
        <f>CONCATENATE(S86,"-",T86)</f>
        <v>08-Infraestructura física, mantenimiento y dotación (Sedes construidas, mantenidas reforzadas)</v>
      </c>
      <c r="V86" s="51" t="s">
        <v>238</v>
      </c>
      <c r="W86" s="248" t="str">
        <f>IFERROR(VLOOKUP(V86,TD!$N$34:$O$46,2,0)," ")</f>
        <v>Sedes mantenidas</v>
      </c>
      <c r="X86" s="249" t="str">
        <f>CONCATENATE(V86,"_",W86)</f>
        <v>016_Sedes mantenidas</v>
      </c>
      <c r="Y86" s="249" t="str">
        <f>CONCATENATE(U86," ",X86)</f>
        <v>08-Infraestructura física, mantenimiento y dotación (Sedes construidas, mantenidas reforzadas) 016_Sedes mantenidas</v>
      </c>
      <c r="Z86" s="248" t="str">
        <f>CONCATENATE(P86,Q86,R86,S86,V86)</f>
        <v>O23011745992024020708016</v>
      </c>
      <c r="AA86" s="248" t="str">
        <f>IFERROR(VLOOKUP(Y86,TD!$K$47:$L$65,2,0)," ")</f>
        <v>PM/0131/0108/45990160207</v>
      </c>
      <c r="AB86" s="53" t="s">
        <v>138</v>
      </c>
      <c r="AC86" s="250" t="s">
        <v>204</v>
      </c>
    </row>
    <row r="87" spans="2:29" s="28" customFormat="1" ht="56" x14ac:dyDescent="0.35">
      <c r="B87" s="77">
        <v>20250073</v>
      </c>
      <c r="C87" s="50" t="s">
        <v>208</v>
      </c>
      <c r="D87" s="246" t="s">
        <v>45</v>
      </c>
      <c r="E87" s="51" t="s">
        <v>355</v>
      </c>
      <c r="F87" s="246" t="s">
        <v>359</v>
      </c>
      <c r="G87" s="246" t="s">
        <v>156</v>
      </c>
      <c r="H87" s="93">
        <v>80111600</v>
      </c>
      <c r="I87" s="247">
        <v>2</v>
      </c>
      <c r="J87" s="247">
        <v>11</v>
      </c>
      <c r="K87" s="52">
        <v>0</v>
      </c>
      <c r="L87" s="53">
        <v>48400000</v>
      </c>
      <c r="M87" s="246" t="s">
        <v>464</v>
      </c>
      <c r="N87" s="53" t="s">
        <v>113</v>
      </c>
      <c r="O87" s="51" t="s">
        <v>219</v>
      </c>
      <c r="P87" s="248" t="str">
        <f>IFERROR(VLOOKUP(C87,TD!$B$33:$F$37,2,0)," ")</f>
        <v>O230117</v>
      </c>
      <c r="Q87" s="248" t="str">
        <f>IFERROR(VLOOKUP(C87,TD!$B$33:$F$37,3,0)," ")</f>
        <v>4599</v>
      </c>
      <c r="R87" s="248">
        <f>IFERROR(VLOOKUP(C87,TD!$B$33:$F$37,4,0)," ")</f>
        <v>20240207</v>
      </c>
      <c r="S87" s="51" t="s">
        <v>185</v>
      </c>
      <c r="T87" s="248" t="str">
        <f>IFERROR(VLOOKUP(S87,TD!$J$34:$K$44,2,0)," ")</f>
        <v>Infraestructura física, mantenimiento y dotación (Sedes construidas, mantenidas reforzadas)</v>
      </c>
      <c r="U87" s="249" t="str">
        <f>CONCATENATE(S87,"-",T87)</f>
        <v>08-Infraestructura física, mantenimiento y dotación (Sedes construidas, mantenidas reforzadas)</v>
      </c>
      <c r="V87" s="51" t="s">
        <v>238</v>
      </c>
      <c r="W87" s="248" t="str">
        <f>IFERROR(VLOOKUP(V87,TD!$N$34:$O$46,2,0)," ")</f>
        <v>Sedes mantenidas</v>
      </c>
      <c r="X87" s="249" t="str">
        <f>CONCATENATE(V87,"_",W87)</f>
        <v>016_Sedes mantenidas</v>
      </c>
      <c r="Y87" s="249" t="str">
        <f>CONCATENATE(U87," ",X87)</f>
        <v>08-Infraestructura física, mantenimiento y dotación (Sedes construidas, mantenidas reforzadas) 016_Sedes mantenidas</v>
      </c>
      <c r="Z87" s="248" t="str">
        <f>CONCATENATE(P87,Q87,R87,S87,V87)</f>
        <v>O23011745992024020708016</v>
      </c>
      <c r="AA87" s="248" t="str">
        <f>IFERROR(VLOOKUP(Y87,TD!$K$47:$L$65,2,0)," ")</f>
        <v>PM/0131/0108/45990160207</v>
      </c>
      <c r="AB87" s="53" t="s">
        <v>138</v>
      </c>
      <c r="AC87" s="250" t="s">
        <v>204</v>
      </c>
    </row>
    <row r="88" spans="2:29" s="28" customFormat="1" ht="70" x14ac:dyDescent="0.35">
      <c r="B88" s="77">
        <v>20250074</v>
      </c>
      <c r="C88" s="50" t="s">
        <v>208</v>
      </c>
      <c r="D88" s="246" t="s">
        <v>45</v>
      </c>
      <c r="E88" s="51" t="s">
        <v>355</v>
      </c>
      <c r="F88" s="246" t="s">
        <v>483</v>
      </c>
      <c r="G88" s="246" t="s">
        <v>155</v>
      </c>
      <c r="H88" s="93">
        <v>80111600</v>
      </c>
      <c r="I88" s="247">
        <v>2</v>
      </c>
      <c r="J88" s="247">
        <v>6</v>
      </c>
      <c r="K88" s="52">
        <v>0</v>
      </c>
      <c r="L88" s="53">
        <f>98000000-39200000</f>
        <v>58800000</v>
      </c>
      <c r="M88" s="246" t="s">
        <v>464</v>
      </c>
      <c r="N88" s="53" t="s">
        <v>113</v>
      </c>
      <c r="O88" s="51" t="s">
        <v>219</v>
      </c>
      <c r="P88" s="248" t="str">
        <f>IFERROR(VLOOKUP(C88,TD!$B$33:$F$37,2,0)," ")</f>
        <v>O230117</v>
      </c>
      <c r="Q88" s="248" t="str">
        <f>IFERROR(VLOOKUP(C88,TD!$B$33:$F$37,3,0)," ")</f>
        <v>4599</v>
      </c>
      <c r="R88" s="248">
        <f>IFERROR(VLOOKUP(C88,TD!$B$33:$F$37,4,0)," ")</f>
        <v>20240207</v>
      </c>
      <c r="S88" s="51" t="s">
        <v>185</v>
      </c>
      <c r="T88" s="248" t="str">
        <f>IFERROR(VLOOKUP(S88,TD!$J$34:$K$44,2,0)," ")</f>
        <v>Infraestructura física, mantenimiento y dotación (Sedes construidas, mantenidas reforzadas)</v>
      </c>
      <c r="U88" s="249" t="str">
        <f>CONCATENATE(S88,"-",T88)</f>
        <v>08-Infraestructura física, mantenimiento y dotación (Sedes construidas, mantenidas reforzadas)</v>
      </c>
      <c r="V88" s="51" t="s">
        <v>238</v>
      </c>
      <c r="W88" s="248" t="str">
        <f>IFERROR(VLOOKUP(V88,TD!$N$34:$O$46,2,0)," ")</f>
        <v>Sedes mantenidas</v>
      </c>
      <c r="X88" s="249" t="str">
        <f>CONCATENATE(V88,"_",W88)</f>
        <v>016_Sedes mantenidas</v>
      </c>
      <c r="Y88" s="249" t="str">
        <f>CONCATENATE(U88," ",X88)</f>
        <v>08-Infraestructura física, mantenimiento y dotación (Sedes construidas, mantenidas reforzadas) 016_Sedes mantenidas</v>
      </c>
      <c r="Z88" s="248" t="str">
        <f>CONCATENATE(P88,Q88,R88,S88,V88)</f>
        <v>O23011745992024020708016</v>
      </c>
      <c r="AA88" s="248" t="str">
        <f>IFERROR(VLOOKUP(Y88,TD!$K$47:$L$65,2,0)," ")</f>
        <v>PM/0131/0108/45990160207</v>
      </c>
      <c r="AB88" s="53" t="s">
        <v>138</v>
      </c>
      <c r="AC88" s="250" t="s">
        <v>204</v>
      </c>
    </row>
    <row r="89" spans="2:29" s="28" customFormat="1" ht="56" x14ac:dyDescent="0.35">
      <c r="B89" s="77">
        <v>20250075</v>
      </c>
      <c r="C89" s="50" t="s">
        <v>208</v>
      </c>
      <c r="D89" s="246" t="s">
        <v>45</v>
      </c>
      <c r="E89" s="51" t="s">
        <v>355</v>
      </c>
      <c r="F89" s="246" t="s">
        <v>430</v>
      </c>
      <c r="G89" s="246" t="s">
        <v>155</v>
      </c>
      <c r="H89" s="93">
        <v>80111600</v>
      </c>
      <c r="I89" s="247">
        <v>2</v>
      </c>
      <c r="J89" s="247">
        <v>6</v>
      </c>
      <c r="K89" s="52">
        <v>0</v>
      </c>
      <c r="L89" s="53">
        <f>98000000-39200000</f>
        <v>58800000</v>
      </c>
      <c r="M89" s="246" t="s">
        <v>464</v>
      </c>
      <c r="N89" s="53" t="s">
        <v>113</v>
      </c>
      <c r="O89" s="51" t="s">
        <v>219</v>
      </c>
      <c r="P89" s="248" t="str">
        <f>IFERROR(VLOOKUP(C89,TD!$B$33:$F$37,2,0)," ")</f>
        <v>O230117</v>
      </c>
      <c r="Q89" s="248" t="str">
        <f>IFERROR(VLOOKUP(C89,TD!$B$33:$F$37,3,0)," ")</f>
        <v>4599</v>
      </c>
      <c r="R89" s="248">
        <f>IFERROR(VLOOKUP(C89,TD!$B$33:$F$37,4,0)," ")</f>
        <v>20240207</v>
      </c>
      <c r="S89" s="51" t="s">
        <v>185</v>
      </c>
      <c r="T89" s="248" t="str">
        <f>IFERROR(VLOOKUP(S89,TD!$J$34:$K$44,2,0)," ")</f>
        <v>Infraestructura física, mantenimiento y dotación (Sedes construidas, mantenidas reforzadas)</v>
      </c>
      <c r="U89" s="249" t="str">
        <f>CONCATENATE(S89,"-",T89)</f>
        <v>08-Infraestructura física, mantenimiento y dotación (Sedes construidas, mantenidas reforzadas)</v>
      </c>
      <c r="V89" s="51" t="s">
        <v>238</v>
      </c>
      <c r="W89" s="248" t="str">
        <f>IFERROR(VLOOKUP(V89,TD!$N$34:$O$46,2,0)," ")</f>
        <v>Sedes mantenidas</v>
      </c>
      <c r="X89" s="249" t="str">
        <f>CONCATENATE(V89,"_",W89)</f>
        <v>016_Sedes mantenidas</v>
      </c>
      <c r="Y89" s="249" t="str">
        <f>CONCATENATE(U89," ",X89)</f>
        <v>08-Infraestructura física, mantenimiento y dotación (Sedes construidas, mantenidas reforzadas) 016_Sedes mantenidas</v>
      </c>
      <c r="Z89" s="248" t="str">
        <f>CONCATENATE(P89,Q89,R89,S89,V89)</f>
        <v>O23011745992024020708016</v>
      </c>
      <c r="AA89" s="248" t="str">
        <f>IFERROR(VLOOKUP(Y89,TD!$K$47:$L$65,2,0)," ")</f>
        <v>PM/0131/0108/45990160207</v>
      </c>
      <c r="AB89" s="53" t="s">
        <v>138</v>
      </c>
      <c r="AC89" s="250" t="s">
        <v>204</v>
      </c>
    </row>
    <row r="90" spans="2:29" s="28" customFormat="1" ht="56" x14ac:dyDescent="0.35">
      <c r="B90" s="77">
        <v>20250076</v>
      </c>
      <c r="C90" s="50" t="s">
        <v>208</v>
      </c>
      <c r="D90" s="246" t="s">
        <v>161</v>
      </c>
      <c r="E90" s="51" t="s">
        <v>355</v>
      </c>
      <c r="F90" s="246" t="s">
        <v>360</v>
      </c>
      <c r="G90" s="246" t="s">
        <v>155</v>
      </c>
      <c r="H90" s="93">
        <v>80111600</v>
      </c>
      <c r="I90" s="247">
        <v>2</v>
      </c>
      <c r="J90" s="247">
        <v>11</v>
      </c>
      <c r="K90" s="52">
        <v>0</v>
      </c>
      <c r="L90" s="53">
        <v>115500000</v>
      </c>
      <c r="M90" s="246" t="s">
        <v>464</v>
      </c>
      <c r="N90" s="53" t="s">
        <v>113</v>
      </c>
      <c r="O90" s="51" t="s">
        <v>220</v>
      </c>
      <c r="P90" s="248" t="str">
        <f>IFERROR(VLOOKUP(C90,TD!$B$33:$F$37,2,0)," ")</f>
        <v>O230117</v>
      </c>
      <c r="Q90" s="248" t="str">
        <f>IFERROR(VLOOKUP(C90,TD!$B$33:$F$37,3,0)," ")</f>
        <v>4599</v>
      </c>
      <c r="R90" s="248">
        <f>IFERROR(VLOOKUP(C90,TD!$B$33:$F$37,4,0)," ")</f>
        <v>20240207</v>
      </c>
      <c r="S90" s="51" t="s">
        <v>193</v>
      </c>
      <c r="T90" s="248" t="str">
        <f>IFERROR(VLOOKUP(S90,TD!$J$34:$K$44,2,0)," ")</f>
        <v>Servicios para la planeación y sistemas de gestión y comunicación estratégica</v>
      </c>
      <c r="U90" s="249" t="str">
        <f>CONCATENATE(S90,"-",T90)</f>
        <v>13-Servicios para la planeación y sistemas de gestión y comunicación estratégica</v>
      </c>
      <c r="V90" s="51" t="s">
        <v>242</v>
      </c>
      <c r="W90" s="248" t="str">
        <f>IFERROR(VLOOKUP(V90,TD!$N$34:$O$46,2,0)," ")</f>
        <v>Documentos de planeación</v>
      </c>
      <c r="X90" s="249" t="str">
        <f>CONCATENATE(V90,"_",W90)</f>
        <v>019_Documentos de planeación</v>
      </c>
      <c r="Y90" s="249" t="str">
        <f>CONCATENATE(U90," ",X90)</f>
        <v>13-Servicios para la planeación y sistemas de gestión y comunicación estratégica 019_Documentos de planeación</v>
      </c>
      <c r="Z90" s="248" t="str">
        <f>CONCATENATE(P90,Q90,R90,S90,V90)</f>
        <v>O23011745992024020713019</v>
      </c>
      <c r="AA90" s="248" t="str">
        <f>IFERROR(VLOOKUP(Y90,TD!$K$47:$L$65,2,0)," ")</f>
        <v>PM/0131/0113/45990190207</v>
      </c>
      <c r="AB90" s="53" t="s">
        <v>138</v>
      </c>
      <c r="AC90" s="250" t="s">
        <v>204</v>
      </c>
    </row>
    <row r="91" spans="2:29" s="28" customFormat="1" ht="56" x14ac:dyDescent="0.35">
      <c r="B91" s="77">
        <v>20250077</v>
      </c>
      <c r="C91" s="50" t="s">
        <v>208</v>
      </c>
      <c r="D91" s="246" t="s">
        <v>161</v>
      </c>
      <c r="E91" s="51" t="s">
        <v>355</v>
      </c>
      <c r="F91" s="246" t="s">
        <v>364</v>
      </c>
      <c r="G91" s="246" t="s">
        <v>155</v>
      </c>
      <c r="H91" s="93">
        <v>80111600</v>
      </c>
      <c r="I91" s="247">
        <v>2</v>
      </c>
      <c r="J91" s="247">
        <v>11</v>
      </c>
      <c r="K91" s="52">
        <v>0</v>
      </c>
      <c r="L91" s="53">
        <v>66000000</v>
      </c>
      <c r="M91" s="246" t="s">
        <v>464</v>
      </c>
      <c r="N91" s="53" t="s">
        <v>113</v>
      </c>
      <c r="O91" s="51" t="s">
        <v>220</v>
      </c>
      <c r="P91" s="248" t="str">
        <f>IFERROR(VLOOKUP(C91,TD!$B$33:$F$37,2,0)," ")</f>
        <v>O230117</v>
      </c>
      <c r="Q91" s="248" t="str">
        <f>IFERROR(VLOOKUP(C91,TD!$B$33:$F$37,3,0)," ")</f>
        <v>4599</v>
      </c>
      <c r="R91" s="248">
        <f>IFERROR(VLOOKUP(C91,TD!$B$33:$F$37,4,0)," ")</f>
        <v>20240207</v>
      </c>
      <c r="S91" s="51" t="s">
        <v>193</v>
      </c>
      <c r="T91" s="248" t="str">
        <f>IFERROR(VLOOKUP(S91,TD!$J$34:$K$44,2,0)," ")</f>
        <v>Servicios para la planeación y sistemas de gestión y comunicación estratégica</v>
      </c>
      <c r="U91" s="249" t="str">
        <f>CONCATENATE(S91,"-",T91)</f>
        <v>13-Servicios para la planeación y sistemas de gestión y comunicación estratégica</v>
      </c>
      <c r="V91" s="51" t="s">
        <v>242</v>
      </c>
      <c r="W91" s="248" t="str">
        <f>IFERROR(VLOOKUP(V91,TD!$N$34:$O$46,2,0)," ")</f>
        <v>Documentos de planeación</v>
      </c>
      <c r="X91" s="249" t="str">
        <f>CONCATENATE(V91,"_",W91)</f>
        <v>019_Documentos de planeación</v>
      </c>
      <c r="Y91" s="249" t="str">
        <f>CONCATENATE(U91," ",X91)</f>
        <v>13-Servicios para la planeación y sistemas de gestión y comunicación estratégica 019_Documentos de planeación</v>
      </c>
      <c r="Z91" s="248" t="str">
        <f>CONCATENATE(P91,Q91,R91,S91,V91)</f>
        <v>O23011745992024020713019</v>
      </c>
      <c r="AA91" s="248" t="str">
        <f>IFERROR(VLOOKUP(Y91,TD!$K$47:$L$65,2,0)," ")</f>
        <v>PM/0131/0113/45990190207</v>
      </c>
      <c r="AB91" s="53" t="s">
        <v>138</v>
      </c>
      <c r="AC91" s="250" t="s">
        <v>204</v>
      </c>
    </row>
    <row r="92" spans="2:29" s="28" customFormat="1" ht="56" x14ac:dyDescent="0.35">
      <c r="B92" s="77">
        <v>20250078</v>
      </c>
      <c r="C92" s="50" t="s">
        <v>208</v>
      </c>
      <c r="D92" s="246" t="s">
        <v>161</v>
      </c>
      <c r="E92" s="51" t="s">
        <v>355</v>
      </c>
      <c r="F92" s="246" t="s">
        <v>366</v>
      </c>
      <c r="G92" s="246" t="s">
        <v>156</v>
      </c>
      <c r="H92" s="93">
        <v>80111600</v>
      </c>
      <c r="I92" s="247">
        <v>2</v>
      </c>
      <c r="J92" s="247">
        <v>11</v>
      </c>
      <c r="K92" s="52">
        <v>0</v>
      </c>
      <c r="L92" s="53">
        <f>44000000+4400000</f>
        <v>48400000</v>
      </c>
      <c r="M92" s="246" t="s">
        <v>464</v>
      </c>
      <c r="N92" s="53" t="s">
        <v>113</v>
      </c>
      <c r="O92" s="51" t="s">
        <v>220</v>
      </c>
      <c r="P92" s="248" t="str">
        <f>IFERROR(VLOOKUP(C92,TD!$B$33:$F$37,2,0)," ")</f>
        <v>O230117</v>
      </c>
      <c r="Q92" s="248" t="str">
        <f>IFERROR(VLOOKUP(C92,TD!$B$33:$F$37,3,0)," ")</f>
        <v>4599</v>
      </c>
      <c r="R92" s="248">
        <f>IFERROR(VLOOKUP(C92,TD!$B$33:$F$37,4,0)," ")</f>
        <v>20240207</v>
      </c>
      <c r="S92" s="51" t="s">
        <v>193</v>
      </c>
      <c r="T92" s="248" t="str">
        <f>IFERROR(VLOOKUP(S92,TD!$J$34:$K$44,2,0)," ")</f>
        <v>Servicios para la planeación y sistemas de gestión y comunicación estratégica</v>
      </c>
      <c r="U92" s="249" t="str">
        <f>CONCATENATE(S92,"-",T92)</f>
        <v>13-Servicios para la planeación y sistemas de gestión y comunicación estratégica</v>
      </c>
      <c r="V92" s="51" t="s">
        <v>242</v>
      </c>
      <c r="W92" s="248" t="str">
        <f>IFERROR(VLOOKUP(V92,TD!$N$34:$O$46,2,0)," ")</f>
        <v>Documentos de planeación</v>
      </c>
      <c r="X92" s="249" t="str">
        <f>CONCATENATE(V92,"_",W92)</f>
        <v>019_Documentos de planeación</v>
      </c>
      <c r="Y92" s="249" t="str">
        <f>CONCATENATE(U92," ",X92)</f>
        <v>13-Servicios para la planeación y sistemas de gestión y comunicación estratégica 019_Documentos de planeación</v>
      </c>
      <c r="Z92" s="248" t="str">
        <f>CONCATENATE(P92,Q92,R92,S92,V92)</f>
        <v>O23011745992024020713019</v>
      </c>
      <c r="AA92" s="248" t="str">
        <f>IFERROR(VLOOKUP(Y92,TD!$K$47:$L$65,2,0)," ")</f>
        <v>PM/0131/0113/45990190207</v>
      </c>
      <c r="AB92" s="53" t="s">
        <v>138</v>
      </c>
      <c r="AC92" s="250" t="s">
        <v>204</v>
      </c>
    </row>
    <row r="93" spans="2:29" s="28" customFormat="1" ht="56" x14ac:dyDescent="0.35">
      <c r="B93" s="77">
        <v>20250079</v>
      </c>
      <c r="C93" s="50" t="s">
        <v>208</v>
      </c>
      <c r="D93" s="246" t="s">
        <v>161</v>
      </c>
      <c r="E93" s="51" t="s">
        <v>355</v>
      </c>
      <c r="F93" s="246" t="s">
        <v>363</v>
      </c>
      <c r="G93" s="246" t="s">
        <v>155</v>
      </c>
      <c r="H93" s="93">
        <v>80111600</v>
      </c>
      <c r="I93" s="247">
        <v>2</v>
      </c>
      <c r="J93" s="247">
        <v>11</v>
      </c>
      <c r="K93" s="52">
        <v>0</v>
      </c>
      <c r="L93" s="53">
        <v>66000000</v>
      </c>
      <c r="M93" s="246" t="s">
        <v>464</v>
      </c>
      <c r="N93" s="53" t="s">
        <v>113</v>
      </c>
      <c r="O93" s="51" t="s">
        <v>220</v>
      </c>
      <c r="P93" s="248" t="str">
        <f>IFERROR(VLOOKUP(C93,TD!$B$33:$F$37,2,0)," ")</f>
        <v>O230117</v>
      </c>
      <c r="Q93" s="248" t="str">
        <f>IFERROR(VLOOKUP(C93,TD!$B$33:$F$37,3,0)," ")</f>
        <v>4599</v>
      </c>
      <c r="R93" s="248">
        <f>IFERROR(VLOOKUP(C93,TD!$B$33:$F$37,4,0)," ")</f>
        <v>20240207</v>
      </c>
      <c r="S93" s="51" t="s">
        <v>193</v>
      </c>
      <c r="T93" s="248" t="str">
        <f>IFERROR(VLOOKUP(S93,TD!$J$34:$K$44,2,0)," ")</f>
        <v>Servicios para la planeación y sistemas de gestión y comunicación estratégica</v>
      </c>
      <c r="U93" s="249" t="str">
        <f>CONCATENATE(S93,"-",T93)</f>
        <v>13-Servicios para la planeación y sistemas de gestión y comunicación estratégica</v>
      </c>
      <c r="V93" s="51" t="s">
        <v>242</v>
      </c>
      <c r="W93" s="248" t="str">
        <f>IFERROR(VLOOKUP(V93,TD!$N$34:$O$46,2,0)," ")</f>
        <v>Documentos de planeación</v>
      </c>
      <c r="X93" s="249" t="str">
        <f>CONCATENATE(V93,"_",W93)</f>
        <v>019_Documentos de planeación</v>
      </c>
      <c r="Y93" s="249" t="str">
        <f>CONCATENATE(U93," ",X93)</f>
        <v>13-Servicios para la planeación y sistemas de gestión y comunicación estratégica 019_Documentos de planeación</v>
      </c>
      <c r="Z93" s="248" t="str">
        <f>CONCATENATE(P93,Q93,R93,S93,V93)</f>
        <v>O23011745992024020713019</v>
      </c>
      <c r="AA93" s="248" t="str">
        <f>IFERROR(VLOOKUP(Y93,TD!$K$47:$L$65,2,0)," ")</f>
        <v>PM/0131/0113/45990190207</v>
      </c>
      <c r="AB93" s="53" t="s">
        <v>138</v>
      </c>
      <c r="AC93" s="250" t="s">
        <v>204</v>
      </c>
    </row>
    <row r="94" spans="2:29" s="28" customFormat="1" ht="56" x14ac:dyDescent="0.35">
      <c r="B94" s="77">
        <v>20250080</v>
      </c>
      <c r="C94" s="50" t="s">
        <v>208</v>
      </c>
      <c r="D94" s="246" t="s">
        <v>161</v>
      </c>
      <c r="E94" s="51" t="s">
        <v>355</v>
      </c>
      <c r="F94" s="246" t="s">
        <v>362</v>
      </c>
      <c r="G94" s="246" t="s">
        <v>155</v>
      </c>
      <c r="H94" s="93">
        <v>80111600</v>
      </c>
      <c r="I94" s="247">
        <v>2</v>
      </c>
      <c r="J94" s="247">
        <v>11</v>
      </c>
      <c r="K94" s="52">
        <v>0</v>
      </c>
      <c r="L94" s="53">
        <v>88000000</v>
      </c>
      <c r="M94" s="246" t="s">
        <v>464</v>
      </c>
      <c r="N94" s="53" t="s">
        <v>113</v>
      </c>
      <c r="O94" s="51" t="s">
        <v>220</v>
      </c>
      <c r="P94" s="248" t="str">
        <f>IFERROR(VLOOKUP(C94,TD!$B$33:$F$37,2,0)," ")</f>
        <v>O230117</v>
      </c>
      <c r="Q94" s="248" t="str">
        <f>IFERROR(VLOOKUP(C94,TD!$B$33:$F$37,3,0)," ")</f>
        <v>4599</v>
      </c>
      <c r="R94" s="248">
        <f>IFERROR(VLOOKUP(C94,TD!$B$33:$F$37,4,0)," ")</f>
        <v>20240207</v>
      </c>
      <c r="S94" s="51" t="s">
        <v>193</v>
      </c>
      <c r="T94" s="248" t="str">
        <f>IFERROR(VLOOKUP(S94,TD!$J$34:$K$44,2,0)," ")</f>
        <v>Servicios para la planeación y sistemas de gestión y comunicación estratégica</v>
      </c>
      <c r="U94" s="249" t="str">
        <f>CONCATENATE(S94,"-",T94)</f>
        <v>13-Servicios para la planeación y sistemas de gestión y comunicación estratégica</v>
      </c>
      <c r="V94" s="51" t="s">
        <v>242</v>
      </c>
      <c r="W94" s="248" t="str">
        <f>IFERROR(VLOOKUP(V94,TD!$N$34:$O$46,2,0)," ")</f>
        <v>Documentos de planeación</v>
      </c>
      <c r="X94" s="249" t="str">
        <f>CONCATENATE(V94,"_",W94)</f>
        <v>019_Documentos de planeación</v>
      </c>
      <c r="Y94" s="249" t="str">
        <f>CONCATENATE(U94," ",X94)</f>
        <v>13-Servicios para la planeación y sistemas de gestión y comunicación estratégica 019_Documentos de planeación</v>
      </c>
      <c r="Z94" s="248" t="str">
        <f>CONCATENATE(P94,Q94,R94,S94,V94)</f>
        <v>O23011745992024020713019</v>
      </c>
      <c r="AA94" s="248" t="str">
        <f>IFERROR(VLOOKUP(Y94,TD!$K$47:$L$65,2,0)," ")</f>
        <v>PM/0131/0113/45990190207</v>
      </c>
      <c r="AB94" s="53" t="s">
        <v>138</v>
      </c>
      <c r="AC94" s="250" t="s">
        <v>204</v>
      </c>
    </row>
    <row r="95" spans="2:29" s="28" customFormat="1" ht="56" x14ac:dyDescent="0.35">
      <c r="B95" s="77">
        <v>20250081</v>
      </c>
      <c r="C95" s="50" t="s">
        <v>208</v>
      </c>
      <c r="D95" s="246" t="s">
        <v>161</v>
      </c>
      <c r="E95" s="51" t="s">
        <v>355</v>
      </c>
      <c r="F95" s="246" t="s">
        <v>365</v>
      </c>
      <c r="G95" s="246" t="s">
        <v>155</v>
      </c>
      <c r="H95" s="93">
        <v>80111600</v>
      </c>
      <c r="I95" s="247">
        <v>2</v>
      </c>
      <c r="J95" s="247">
        <v>11</v>
      </c>
      <c r="K95" s="52">
        <v>0</v>
      </c>
      <c r="L95" s="53">
        <v>66000000</v>
      </c>
      <c r="M95" s="246" t="s">
        <v>464</v>
      </c>
      <c r="N95" s="53" t="s">
        <v>113</v>
      </c>
      <c r="O95" s="51" t="s">
        <v>220</v>
      </c>
      <c r="P95" s="248" t="str">
        <f>IFERROR(VLOOKUP(C95,TD!$B$33:$F$37,2,0)," ")</f>
        <v>O230117</v>
      </c>
      <c r="Q95" s="248" t="str">
        <f>IFERROR(VLOOKUP(C95,TD!$B$33:$F$37,3,0)," ")</f>
        <v>4599</v>
      </c>
      <c r="R95" s="248">
        <f>IFERROR(VLOOKUP(C95,TD!$B$33:$F$37,4,0)," ")</f>
        <v>20240207</v>
      </c>
      <c r="S95" s="51" t="s">
        <v>193</v>
      </c>
      <c r="T95" s="248" t="str">
        <f>IFERROR(VLOOKUP(S95,TD!$J$34:$K$44,2,0)," ")</f>
        <v>Servicios para la planeación y sistemas de gestión y comunicación estratégica</v>
      </c>
      <c r="U95" s="249" t="str">
        <f>CONCATENATE(S95,"-",T95)</f>
        <v>13-Servicios para la planeación y sistemas de gestión y comunicación estratégica</v>
      </c>
      <c r="V95" s="51" t="s">
        <v>242</v>
      </c>
      <c r="W95" s="248" t="str">
        <f>IFERROR(VLOOKUP(V95,TD!$N$34:$O$46,2,0)," ")</f>
        <v>Documentos de planeación</v>
      </c>
      <c r="X95" s="249" t="str">
        <f>CONCATENATE(V95,"_",W95)</f>
        <v>019_Documentos de planeación</v>
      </c>
      <c r="Y95" s="249" t="str">
        <f>CONCATENATE(U95," ",X95)</f>
        <v>13-Servicios para la planeación y sistemas de gestión y comunicación estratégica 019_Documentos de planeación</v>
      </c>
      <c r="Z95" s="248" t="str">
        <f>CONCATENATE(P95,Q95,R95,S95,V95)</f>
        <v>O23011745992024020713019</v>
      </c>
      <c r="AA95" s="248" t="str">
        <f>IFERROR(VLOOKUP(Y95,TD!$K$47:$L$65,2,0)," ")</f>
        <v>PM/0131/0113/45990190207</v>
      </c>
      <c r="AB95" s="53" t="s">
        <v>138</v>
      </c>
      <c r="AC95" s="250" t="s">
        <v>204</v>
      </c>
    </row>
    <row r="96" spans="2:29" s="28" customFormat="1" ht="56" x14ac:dyDescent="0.35">
      <c r="B96" s="77">
        <v>20250082</v>
      </c>
      <c r="C96" s="50" t="s">
        <v>208</v>
      </c>
      <c r="D96" s="246" t="s">
        <v>45</v>
      </c>
      <c r="E96" s="51" t="s">
        <v>355</v>
      </c>
      <c r="F96" s="246" t="s">
        <v>712</v>
      </c>
      <c r="G96" s="246" t="s">
        <v>155</v>
      </c>
      <c r="H96" s="93">
        <v>80111600</v>
      </c>
      <c r="I96" s="247">
        <v>2</v>
      </c>
      <c r="J96" s="247">
        <v>8</v>
      </c>
      <c r="K96" s="52">
        <v>0</v>
      </c>
      <c r="L96" s="53">
        <f>61723493-13723493+12000000</f>
        <v>60000000</v>
      </c>
      <c r="M96" s="246" t="s">
        <v>464</v>
      </c>
      <c r="N96" s="53" t="s">
        <v>113</v>
      </c>
      <c r="O96" s="51" t="s">
        <v>219</v>
      </c>
      <c r="P96" s="248" t="str">
        <f>IFERROR(VLOOKUP(C96,TD!$B$33:$F$37,2,0)," ")</f>
        <v>O230117</v>
      </c>
      <c r="Q96" s="248" t="str">
        <f>IFERROR(VLOOKUP(C96,TD!$B$33:$F$37,3,0)," ")</f>
        <v>4599</v>
      </c>
      <c r="R96" s="248">
        <f>IFERROR(VLOOKUP(C96,TD!$B$33:$F$37,4,0)," ")</f>
        <v>20240207</v>
      </c>
      <c r="S96" s="51" t="s">
        <v>185</v>
      </c>
      <c r="T96" s="248" t="str">
        <f>IFERROR(VLOOKUP(S96,TD!$J$34:$K$44,2,0)," ")</f>
        <v>Infraestructura física, mantenimiento y dotación (Sedes construidas, mantenidas reforzadas)</v>
      </c>
      <c r="U96" s="249" t="str">
        <f>CONCATENATE(S96,"-",T96)</f>
        <v>08-Infraestructura física, mantenimiento y dotación (Sedes construidas, mantenidas reforzadas)</v>
      </c>
      <c r="V96" s="51" t="s">
        <v>238</v>
      </c>
      <c r="W96" s="248" t="str">
        <f>IFERROR(VLOOKUP(V96,TD!$N$34:$O$46,2,0)," ")</f>
        <v>Sedes mantenidas</v>
      </c>
      <c r="X96" s="249" t="str">
        <f>CONCATENATE(V96,"_",W96)</f>
        <v>016_Sedes mantenidas</v>
      </c>
      <c r="Y96" s="249" t="str">
        <f>CONCATENATE(U96," ",X96)</f>
        <v>08-Infraestructura física, mantenimiento y dotación (Sedes construidas, mantenidas reforzadas) 016_Sedes mantenidas</v>
      </c>
      <c r="Z96" s="248" t="str">
        <f>CONCATENATE(P96,Q96,R96,S96,V96)</f>
        <v>O23011745992024020708016</v>
      </c>
      <c r="AA96" s="248" t="str">
        <f>IFERROR(VLOOKUP(Y96,TD!$K$47:$L$65,2,0)," ")</f>
        <v>PM/0131/0108/45990160207</v>
      </c>
      <c r="AB96" s="53" t="s">
        <v>138</v>
      </c>
      <c r="AC96" s="250" t="s">
        <v>204</v>
      </c>
    </row>
    <row r="97" spans="2:29" s="28" customFormat="1" ht="56" x14ac:dyDescent="0.35">
      <c r="B97" s="77">
        <v>20250083</v>
      </c>
      <c r="C97" s="50" t="s">
        <v>208</v>
      </c>
      <c r="D97" s="246" t="s">
        <v>161</v>
      </c>
      <c r="E97" s="51" t="s">
        <v>355</v>
      </c>
      <c r="F97" s="246" t="s">
        <v>806</v>
      </c>
      <c r="G97" s="246" t="s">
        <v>155</v>
      </c>
      <c r="H97" s="93">
        <v>80111600</v>
      </c>
      <c r="I97" s="247">
        <v>2</v>
      </c>
      <c r="J97" s="247">
        <v>10</v>
      </c>
      <c r="K97" s="52">
        <v>0</v>
      </c>
      <c r="L97" s="53">
        <v>52000000</v>
      </c>
      <c r="M97" s="246" t="s">
        <v>464</v>
      </c>
      <c r="N97" s="53" t="s">
        <v>113</v>
      </c>
      <c r="O97" s="51" t="s">
        <v>220</v>
      </c>
      <c r="P97" s="248" t="str">
        <f>IFERROR(VLOOKUP(C97,TD!$B$33:$F$37,2,0)," ")</f>
        <v>O230117</v>
      </c>
      <c r="Q97" s="248" t="str">
        <f>IFERROR(VLOOKUP(C97,TD!$B$33:$F$37,3,0)," ")</f>
        <v>4599</v>
      </c>
      <c r="R97" s="248">
        <f>IFERROR(VLOOKUP(C97,TD!$B$33:$F$37,4,0)," ")</f>
        <v>20240207</v>
      </c>
      <c r="S97" s="51" t="s">
        <v>193</v>
      </c>
      <c r="T97" s="248" t="str">
        <f>IFERROR(VLOOKUP(S97,TD!$J$34:$K$44,2,0)," ")</f>
        <v>Servicios para la planeación y sistemas de gestión y comunicación estratégica</v>
      </c>
      <c r="U97" s="249" t="str">
        <f>CONCATENATE(S97,"-",T97)</f>
        <v>13-Servicios para la planeación y sistemas de gestión y comunicación estratégica</v>
      </c>
      <c r="V97" s="51" t="s">
        <v>242</v>
      </c>
      <c r="W97" s="248" t="str">
        <f>IFERROR(VLOOKUP(V97,TD!$N$34:$O$46,2,0)," ")</f>
        <v>Documentos de planeación</v>
      </c>
      <c r="X97" s="249" t="str">
        <f>CONCATENATE(V97,"_",W97)</f>
        <v>019_Documentos de planeación</v>
      </c>
      <c r="Y97" s="249" t="str">
        <f>CONCATENATE(U97," ",X97)</f>
        <v>13-Servicios para la planeación y sistemas de gestión y comunicación estratégica 019_Documentos de planeación</v>
      </c>
      <c r="Z97" s="248" t="str">
        <f>CONCATENATE(P97,Q97,R97,S97,V97)</f>
        <v>O23011745992024020713019</v>
      </c>
      <c r="AA97" s="248" t="str">
        <f>IFERROR(VLOOKUP(Y97,TD!$K$47:$L$65,2,0)," ")</f>
        <v>PM/0131/0113/45990190207</v>
      </c>
      <c r="AB97" s="53" t="s">
        <v>138</v>
      </c>
      <c r="AC97" s="250" t="s">
        <v>204</v>
      </c>
    </row>
    <row r="98" spans="2:29" s="28" customFormat="1" ht="56" x14ac:dyDescent="0.35">
      <c r="B98" s="77">
        <v>20250084</v>
      </c>
      <c r="C98" s="50" t="s">
        <v>208</v>
      </c>
      <c r="D98" s="246" t="s">
        <v>161</v>
      </c>
      <c r="E98" s="51" t="s">
        <v>355</v>
      </c>
      <c r="F98" s="246" t="s">
        <v>361</v>
      </c>
      <c r="G98" s="246" t="s">
        <v>155</v>
      </c>
      <c r="H98" s="93">
        <v>80111600</v>
      </c>
      <c r="I98" s="247">
        <v>2</v>
      </c>
      <c r="J98" s="247">
        <v>11</v>
      </c>
      <c r="K98" s="52">
        <v>0</v>
      </c>
      <c r="L98" s="53">
        <v>66000000</v>
      </c>
      <c r="M98" s="246" t="s">
        <v>464</v>
      </c>
      <c r="N98" s="53" t="s">
        <v>113</v>
      </c>
      <c r="O98" s="51" t="s">
        <v>220</v>
      </c>
      <c r="P98" s="248" t="str">
        <f>IFERROR(VLOOKUP(C98,TD!$B$33:$F$37,2,0)," ")</f>
        <v>O230117</v>
      </c>
      <c r="Q98" s="248" t="str">
        <f>IFERROR(VLOOKUP(C98,TD!$B$33:$F$37,3,0)," ")</f>
        <v>4599</v>
      </c>
      <c r="R98" s="248">
        <f>IFERROR(VLOOKUP(C98,TD!$B$33:$F$37,4,0)," ")</f>
        <v>20240207</v>
      </c>
      <c r="S98" s="51" t="s">
        <v>193</v>
      </c>
      <c r="T98" s="248" t="str">
        <f>IFERROR(VLOOKUP(S98,TD!$J$34:$K$44,2,0)," ")</f>
        <v>Servicios para la planeación y sistemas de gestión y comunicación estratégica</v>
      </c>
      <c r="U98" s="249" t="str">
        <f>CONCATENATE(S98,"-",T98)</f>
        <v>13-Servicios para la planeación y sistemas de gestión y comunicación estratégica</v>
      </c>
      <c r="V98" s="51" t="s">
        <v>242</v>
      </c>
      <c r="W98" s="248" t="str">
        <f>IFERROR(VLOOKUP(V98,TD!$N$34:$O$46,2,0)," ")</f>
        <v>Documentos de planeación</v>
      </c>
      <c r="X98" s="249" t="str">
        <f>CONCATENATE(V98,"_",W98)</f>
        <v>019_Documentos de planeación</v>
      </c>
      <c r="Y98" s="249" t="str">
        <f>CONCATENATE(U98," ",X98)</f>
        <v>13-Servicios para la planeación y sistemas de gestión y comunicación estratégica 019_Documentos de planeación</v>
      </c>
      <c r="Z98" s="248" t="str">
        <f>CONCATENATE(P98,Q98,R98,S98,V98)</f>
        <v>O23011745992024020713019</v>
      </c>
      <c r="AA98" s="248" t="str">
        <f>IFERROR(VLOOKUP(Y98,TD!$K$47:$L$65,2,0)," ")</f>
        <v>PM/0131/0113/45990190207</v>
      </c>
      <c r="AB98" s="53" t="s">
        <v>138</v>
      </c>
      <c r="AC98" s="250" t="s">
        <v>204</v>
      </c>
    </row>
    <row r="99" spans="2:29" s="28" customFormat="1" ht="56" x14ac:dyDescent="0.35">
      <c r="B99" s="77">
        <v>20250085</v>
      </c>
      <c r="C99" s="50" t="s">
        <v>208</v>
      </c>
      <c r="D99" s="246" t="s">
        <v>161</v>
      </c>
      <c r="E99" s="51" t="s">
        <v>355</v>
      </c>
      <c r="F99" s="246" t="s">
        <v>367</v>
      </c>
      <c r="G99" s="246" t="s">
        <v>156</v>
      </c>
      <c r="H99" s="93">
        <v>80111600</v>
      </c>
      <c r="I99" s="247">
        <v>3</v>
      </c>
      <c r="J99" s="247">
        <v>10</v>
      </c>
      <c r="K99" s="52">
        <v>0</v>
      </c>
      <c r="L99" s="53">
        <f>44000000+4400000-4400000</f>
        <v>44000000</v>
      </c>
      <c r="M99" s="246" t="s">
        <v>464</v>
      </c>
      <c r="N99" s="53" t="s">
        <v>113</v>
      </c>
      <c r="O99" s="51" t="s">
        <v>220</v>
      </c>
      <c r="P99" s="248" t="str">
        <f>IFERROR(VLOOKUP(C99,TD!$B$33:$F$37,2,0)," ")</f>
        <v>O230117</v>
      </c>
      <c r="Q99" s="248" t="str">
        <f>IFERROR(VLOOKUP(C99,TD!$B$33:$F$37,3,0)," ")</f>
        <v>4599</v>
      </c>
      <c r="R99" s="248">
        <f>IFERROR(VLOOKUP(C99,TD!$B$33:$F$37,4,0)," ")</f>
        <v>20240207</v>
      </c>
      <c r="S99" s="51" t="s">
        <v>193</v>
      </c>
      <c r="T99" s="248" t="str">
        <f>IFERROR(VLOOKUP(S99,TD!$J$34:$K$44,2,0)," ")</f>
        <v>Servicios para la planeación y sistemas de gestión y comunicación estratégica</v>
      </c>
      <c r="U99" s="249" t="str">
        <f>CONCATENATE(S99,"-",T99)</f>
        <v>13-Servicios para la planeación y sistemas de gestión y comunicación estratégica</v>
      </c>
      <c r="V99" s="51" t="s">
        <v>242</v>
      </c>
      <c r="W99" s="248" t="str">
        <f>IFERROR(VLOOKUP(V99,TD!$N$34:$O$46,2,0)," ")</f>
        <v>Documentos de planeación</v>
      </c>
      <c r="X99" s="249" t="str">
        <f>CONCATENATE(V99,"_",W99)</f>
        <v>019_Documentos de planeación</v>
      </c>
      <c r="Y99" s="249" t="str">
        <f>CONCATENATE(U99," ",X99)</f>
        <v>13-Servicios para la planeación y sistemas de gestión y comunicación estratégica 019_Documentos de planeación</v>
      </c>
      <c r="Z99" s="248" t="str">
        <f>CONCATENATE(P99,Q99,R99,S99,V99)</f>
        <v>O23011745992024020713019</v>
      </c>
      <c r="AA99" s="248" t="str">
        <f>IFERROR(VLOOKUP(Y99,TD!$K$47:$L$65,2,0)," ")</f>
        <v>PM/0131/0113/45990190207</v>
      </c>
      <c r="AB99" s="53" t="s">
        <v>138</v>
      </c>
      <c r="AC99" s="250" t="s">
        <v>204</v>
      </c>
    </row>
    <row r="100" spans="2:29" s="28" customFormat="1" ht="56" x14ac:dyDescent="0.35">
      <c r="B100" s="77">
        <v>20250086</v>
      </c>
      <c r="C100" s="50" t="s">
        <v>208</v>
      </c>
      <c r="D100" s="246" t="s">
        <v>161</v>
      </c>
      <c r="E100" s="51" t="s">
        <v>355</v>
      </c>
      <c r="F100" s="246" t="s">
        <v>431</v>
      </c>
      <c r="G100" s="246" t="s">
        <v>155</v>
      </c>
      <c r="H100" s="93">
        <v>80111600</v>
      </c>
      <c r="I100" s="247">
        <v>2</v>
      </c>
      <c r="J100" s="247">
        <v>11</v>
      </c>
      <c r="K100" s="52">
        <v>0</v>
      </c>
      <c r="L100" s="53">
        <v>107800000</v>
      </c>
      <c r="M100" s="246" t="s">
        <v>464</v>
      </c>
      <c r="N100" s="53" t="s">
        <v>113</v>
      </c>
      <c r="O100" s="51" t="s">
        <v>220</v>
      </c>
      <c r="P100" s="248" t="str">
        <f>IFERROR(VLOOKUP(C100,TD!$B$33:$F$37,2,0)," ")</f>
        <v>O230117</v>
      </c>
      <c r="Q100" s="248" t="str">
        <f>IFERROR(VLOOKUP(C100,TD!$B$33:$F$37,3,0)," ")</f>
        <v>4599</v>
      </c>
      <c r="R100" s="248">
        <f>IFERROR(VLOOKUP(C100,TD!$B$33:$F$37,4,0)," ")</f>
        <v>20240207</v>
      </c>
      <c r="S100" s="51" t="s">
        <v>193</v>
      </c>
      <c r="T100" s="248" t="str">
        <f>IFERROR(VLOOKUP(S100,TD!$J$34:$K$44,2,0)," ")</f>
        <v>Servicios para la planeación y sistemas de gestión y comunicación estratégica</v>
      </c>
      <c r="U100" s="249" t="str">
        <f>CONCATENATE(S100,"-",T100)</f>
        <v>13-Servicios para la planeación y sistemas de gestión y comunicación estratégica</v>
      </c>
      <c r="V100" s="51" t="s">
        <v>242</v>
      </c>
      <c r="W100" s="248" t="str">
        <f>IFERROR(VLOOKUP(V100,TD!$N$34:$O$46,2,0)," ")</f>
        <v>Documentos de planeación</v>
      </c>
      <c r="X100" s="249" t="str">
        <f>CONCATENATE(V100,"_",W100)</f>
        <v>019_Documentos de planeación</v>
      </c>
      <c r="Y100" s="249" t="str">
        <f>CONCATENATE(U100," ",X100)</f>
        <v>13-Servicios para la planeación y sistemas de gestión y comunicación estratégica 019_Documentos de planeación</v>
      </c>
      <c r="Z100" s="248" t="str">
        <f>CONCATENATE(P100,Q100,R100,S100,V100)</f>
        <v>O23011745992024020713019</v>
      </c>
      <c r="AA100" s="248" t="str">
        <f>IFERROR(VLOOKUP(Y100,TD!$K$47:$L$65,2,0)," ")</f>
        <v>PM/0131/0113/45990190207</v>
      </c>
      <c r="AB100" s="53" t="s">
        <v>138</v>
      </c>
      <c r="AC100" s="250" t="s">
        <v>204</v>
      </c>
    </row>
    <row r="101" spans="2:29" s="28" customFormat="1" ht="56" x14ac:dyDescent="0.35">
      <c r="B101" s="77">
        <v>20250087</v>
      </c>
      <c r="C101" s="50" t="s">
        <v>208</v>
      </c>
      <c r="D101" s="246" t="s">
        <v>161</v>
      </c>
      <c r="E101" s="51" t="s">
        <v>355</v>
      </c>
      <c r="F101" s="246" t="s">
        <v>435</v>
      </c>
      <c r="G101" s="246" t="s">
        <v>155</v>
      </c>
      <c r="H101" s="93">
        <v>80111600</v>
      </c>
      <c r="I101" s="247">
        <v>2</v>
      </c>
      <c r="J101" s="247">
        <v>6</v>
      </c>
      <c r="K101" s="52">
        <v>0</v>
      </c>
      <c r="L101" s="53">
        <f>57200000-26000000</f>
        <v>31200000</v>
      </c>
      <c r="M101" s="246" t="s">
        <v>464</v>
      </c>
      <c r="N101" s="53" t="s">
        <v>113</v>
      </c>
      <c r="O101" s="51" t="s">
        <v>220</v>
      </c>
      <c r="P101" s="248" t="str">
        <f>IFERROR(VLOOKUP(C101,TD!$B$33:$F$37,2,0)," ")</f>
        <v>O230117</v>
      </c>
      <c r="Q101" s="248" t="str">
        <f>IFERROR(VLOOKUP(C101,TD!$B$33:$F$37,3,0)," ")</f>
        <v>4599</v>
      </c>
      <c r="R101" s="248">
        <f>IFERROR(VLOOKUP(C101,TD!$B$33:$F$37,4,0)," ")</f>
        <v>20240207</v>
      </c>
      <c r="S101" s="51" t="s">
        <v>193</v>
      </c>
      <c r="T101" s="248" t="str">
        <f>IFERROR(VLOOKUP(S101,TD!$J$34:$K$44,2,0)," ")</f>
        <v>Servicios para la planeación y sistemas de gestión y comunicación estratégica</v>
      </c>
      <c r="U101" s="249" t="str">
        <f>CONCATENATE(S101,"-",T101)</f>
        <v>13-Servicios para la planeación y sistemas de gestión y comunicación estratégica</v>
      </c>
      <c r="V101" s="51" t="s">
        <v>242</v>
      </c>
      <c r="W101" s="248" t="str">
        <f>IFERROR(VLOOKUP(V101,TD!$N$34:$O$46,2,0)," ")</f>
        <v>Documentos de planeación</v>
      </c>
      <c r="X101" s="249" t="str">
        <f>CONCATENATE(V101,"_",W101)</f>
        <v>019_Documentos de planeación</v>
      </c>
      <c r="Y101" s="249" t="str">
        <f>CONCATENATE(U101," ",X101)</f>
        <v>13-Servicios para la planeación y sistemas de gestión y comunicación estratégica 019_Documentos de planeación</v>
      </c>
      <c r="Z101" s="248" t="str">
        <f>CONCATENATE(P101,Q101,R101,S101,V101)</f>
        <v>O23011745992024020713019</v>
      </c>
      <c r="AA101" s="248" t="str">
        <f>IFERROR(VLOOKUP(Y101,TD!$K$47:$L$65,2,0)," ")</f>
        <v>PM/0131/0113/45990190207</v>
      </c>
      <c r="AB101" s="53" t="s">
        <v>138</v>
      </c>
      <c r="AC101" s="250" t="s">
        <v>204</v>
      </c>
    </row>
    <row r="102" spans="2:29" s="28" customFormat="1" ht="56" x14ac:dyDescent="0.35">
      <c r="B102" s="77">
        <v>20250088</v>
      </c>
      <c r="C102" s="50" t="s">
        <v>208</v>
      </c>
      <c r="D102" s="246" t="s">
        <v>161</v>
      </c>
      <c r="E102" s="51" t="s">
        <v>355</v>
      </c>
      <c r="F102" s="246" t="s">
        <v>437</v>
      </c>
      <c r="G102" s="246" t="s">
        <v>155</v>
      </c>
      <c r="H102" s="93">
        <v>80111600</v>
      </c>
      <c r="I102" s="247">
        <v>3</v>
      </c>
      <c r="J102" s="247">
        <v>10</v>
      </c>
      <c r="K102" s="52">
        <v>0</v>
      </c>
      <c r="L102" s="53">
        <f>57200000-5200000</f>
        <v>52000000</v>
      </c>
      <c r="M102" s="246" t="s">
        <v>464</v>
      </c>
      <c r="N102" s="53" t="s">
        <v>113</v>
      </c>
      <c r="O102" s="51" t="s">
        <v>220</v>
      </c>
      <c r="P102" s="248" t="str">
        <f>IFERROR(VLOOKUP(C102,TD!$B$33:$F$37,2,0)," ")</f>
        <v>O230117</v>
      </c>
      <c r="Q102" s="248" t="str">
        <f>IFERROR(VLOOKUP(C102,TD!$B$33:$F$37,3,0)," ")</f>
        <v>4599</v>
      </c>
      <c r="R102" s="248">
        <f>IFERROR(VLOOKUP(C102,TD!$B$33:$F$37,4,0)," ")</f>
        <v>20240207</v>
      </c>
      <c r="S102" s="51" t="s">
        <v>193</v>
      </c>
      <c r="T102" s="248" t="str">
        <f>IFERROR(VLOOKUP(S102,TD!$J$34:$K$44,2,0)," ")</f>
        <v>Servicios para la planeación y sistemas de gestión y comunicación estratégica</v>
      </c>
      <c r="U102" s="249" t="str">
        <f>CONCATENATE(S102,"-",T102)</f>
        <v>13-Servicios para la planeación y sistemas de gestión y comunicación estratégica</v>
      </c>
      <c r="V102" s="51" t="s">
        <v>242</v>
      </c>
      <c r="W102" s="248" t="str">
        <f>IFERROR(VLOOKUP(V102,TD!$N$34:$O$46,2,0)," ")</f>
        <v>Documentos de planeación</v>
      </c>
      <c r="X102" s="249" t="str">
        <f>CONCATENATE(V102,"_",W102)</f>
        <v>019_Documentos de planeación</v>
      </c>
      <c r="Y102" s="249" t="str">
        <f>CONCATENATE(U102," ",X102)</f>
        <v>13-Servicios para la planeación y sistemas de gestión y comunicación estratégica 019_Documentos de planeación</v>
      </c>
      <c r="Z102" s="248" t="str">
        <f>CONCATENATE(P102,Q102,R102,S102,V102)</f>
        <v>O23011745992024020713019</v>
      </c>
      <c r="AA102" s="248" t="str">
        <f>IFERROR(VLOOKUP(Y102,TD!$K$47:$L$65,2,0)," ")</f>
        <v>PM/0131/0113/45990190207</v>
      </c>
      <c r="AB102" s="53" t="s">
        <v>138</v>
      </c>
      <c r="AC102" s="250" t="s">
        <v>204</v>
      </c>
    </row>
    <row r="103" spans="2:29" s="28" customFormat="1" ht="56" x14ac:dyDescent="0.35">
      <c r="B103" s="77">
        <v>20250089</v>
      </c>
      <c r="C103" s="50" t="s">
        <v>208</v>
      </c>
      <c r="D103" s="246" t="s">
        <v>161</v>
      </c>
      <c r="E103" s="51" t="s">
        <v>355</v>
      </c>
      <c r="F103" s="246" t="s">
        <v>698</v>
      </c>
      <c r="G103" s="246" t="s">
        <v>155</v>
      </c>
      <c r="H103" s="93">
        <v>80111600</v>
      </c>
      <c r="I103" s="247">
        <v>3</v>
      </c>
      <c r="J103" s="247">
        <v>6</v>
      </c>
      <c r="K103" s="52">
        <v>0</v>
      </c>
      <c r="L103" s="53">
        <f>24000000+24000000-7200000</f>
        <v>40800000</v>
      </c>
      <c r="M103" s="246" t="s">
        <v>464</v>
      </c>
      <c r="N103" s="53" t="s">
        <v>113</v>
      </c>
      <c r="O103" s="51" t="s">
        <v>220</v>
      </c>
      <c r="P103" s="248" t="str">
        <f>IFERROR(VLOOKUP(C103,TD!$B$33:$F$37,2,0)," ")</f>
        <v>O230117</v>
      </c>
      <c r="Q103" s="248" t="str">
        <f>IFERROR(VLOOKUP(C103,TD!$B$33:$F$37,3,0)," ")</f>
        <v>4599</v>
      </c>
      <c r="R103" s="248">
        <f>IFERROR(VLOOKUP(C103,TD!$B$33:$F$37,4,0)," ")</f>
        <v>20240207</v>
      </c>
      <c r="S103" s="51" t="s">
        <v>193</v>
      </c>
      <c r="T103" s="248" t="str">
        <f>IFERROR(VLOOKUP(S103,TD!$J$34:$K$44,2,0)," ")</f>
        <v>Servicios para la planeación y sistemas de gestión y comunicación estratégica</v>
      </c>
      <c r="U103" s="249" t="str">
        <f>CONCATENATE(S103,"-",T103)</f>
        <v>13-Servicios para la planeación y sistemas de gestión y comunicación estratégica</v>
      </c>
      <c r="V103" s="51" t="s">
        <v>242</v>
      </c>
      <c r="W103" s="248" t="str">
        <f>IFERROR(VLOOKUP(V103,TD!$N$34:$O$46,2,0)," ")</f>
        <v>Documentos de planeación</v>
      </c>
      <c r="X103" s="249" t="str">
        <f>CONCATENATE(V103,"_",W103)</f>
        <v>019_Documentos de planeación</v>
      </c>
      <c r="Y103" s="249" t="str">
        <f>CONCATENATE(U103," ",X103)</f>
        <v>13-Servicios para la planeación y sistemas de gestión y comunicación estratégica 019_Documentos de planeación</v>
      </c>
      <c r="Z103" s="248" t="str">
        <f>CONCATENATE(P103,Q103,R103,S103,V103)</f>
        <v>O23011745992024020713019</v>
      </c>
      <c r="AA103" s="248" t="str">
        <f>IFERROR(VLOOKUP(Y103,TD!$K$47:$L$65,2,0)," ")</f>
        <v>PM/0131/0113/45990190207</v>
      </c>
      <c r="AB103" s="53" t="s">
        <v>138</v>
      </c>
      <c r="AC103" s="250" t="s">
        <v>204</v>
      </c>
    </row>
    <row r="104" spans="2:29" s="28" customFormat="1" ht="56" x14ac:dyDescent="0.35">
      <c r="B104" s="77">
        <v>20250090</v>
      </c>
      <c r="C104" s="50" t="s">
        <v>208</v>
      </c>
      <c r="D104" s="246" t="s">
        <v>161</v>
      </c>
      <c r="E104" s="51" t="s">
        <v>355</v>
      </c>
      <c r="F104" s="246" t="s">
        <v>438</v>
      </c>
      <c r="G104" s="246" t="s">
        <v>156</v>
      </c>
      <c r="H104" s="93">
        <v>80111600</v>
      </c>
      <c r="I104" s="247">
        <v>2</v>
      </c>
      <c r="J104" s="247">
        <v>11</v>
      </c>
      <c r="K104" s="52">
        <v>0</v>
      </c>
      <c r="L104" s="53">
        <v>38500000</v>
      </c>
      <c r="M104" s="246" t="s">
        <v>464</v>
      </c>
      <c r="N104" s="53" t="s">
        <v>113</v>
      </c>
      <c r="O104" s="51" t="s">
        <v>220</v>
      </c>
      <c r="P104" s="248" t="str">
        <f>IFERROR(VLOOKUP(C104,TD!$B$33:$F$37,2,0)," ")</f>
        <v>O230117</v>
      </c>
      <c r="Q104" s="248" t="str">
        <f>IFERROR(VLOOKUP(C104,TD!$B$33:$F$37,3,0)," ")</f>
        <v>4599</v>
      </c>
      <c r="R104" s="248">
        <f>IFERROR(VLOOKUP(C104,TD!$B$33:$F$37,4,0)," ")</f>
        <v>20240207</v>
      </c>
      <c r="S104" s="51" t="s">
        <v>193</v>
      </c>
      <c r="T104" s="248" t="str">
        <f>IFERROR(VLOOKUP(S104,TD!$J$34:$K$44,2,0)," ")</f>
        <v>Servicios para la planeación y sistemas de gestión y comunicación estratégica</v>
      </c>
      <c r="U104" s="249" t="str">
        <f>CONCATENATE(S104,"-",T104)</f>
        <v>13-Servicios para la planeación y sistemas de gestión y comunicación estratégica</v>
      </c>
      <c r="V104" s="51" t="s">
        <v>242</v>
      </c>
      <c r="W104" s="248" t="str">
        <f>IFERROR(VLOOKUP(V104,TD!$N$34:$O$46,2,0)," ")</f>
        <v>Documentos de planeación</v>
      </c>
      <c r="X104" s="249" t="str">
        <f>CONCATENATE(V104,"_",W104)</f>
        <v>019_Documentos de planeación</v>
      </c>
      <c r="Y104" s="249" t="str">
        <f>CONCATENATE(U104," ",X104)</f>
        <v>13-Servicios para la planeación y sistemas de gestión y comunicación estratégica 019_Documentos de planeación</v>
      </c>
      <c r="Z104" s="248" t="str">
        <f>CONCATENATE(P104,Q104,R104,S104,V104)</f>
        <v>O23011745992024020713019</v>
      </c>
      <c r="AA104" s="248" t="str">
        <f>IFERROR(VLOOKUP(Y104,TD!$K$47:$L$65,2,0)," ")</f>
        <v>PM/0131/0113/45990190207</v>
      </c>
      <c r="AB104" s="53" t="s">
        <v>138</v>
      </c>
      <c r="AC104" s="250" t="s">
        <v>204</v>
      </c>
    </row>
    <row r="105" spans="2:29" s="28" customFormat="1" ht="70" x14ac:dyDescent="0.35">
      <c r="B105" s="77">
        <v>20250091</v>
      </c>
      <c r="C105" s="50" t="s">
        <v>208</v>
      </c>
      <c r="D105" s="246" t="s">
        <v>161</v>
      </c>
      <c r="E105" s="51" t="s">
        <v>355</v>
      </c>
      <c r="F105" s="246" t="s">
        <v>436</v>
      </c>
      <c r="G105" s="246" t="s">
        <v>155</v>
      </c>
      <c r="H105" s="93">
        <v>80111600</v>
      </c>
      <c r="I105" s="247">
        <v>2</v>
      </c>
      <c r="J105" s="247">
        <v>6</v>
      </c>
      <c r="K105" s="52">
        <v>0</v>
      </c>
      <c r="L105" s="53">
        <f>57200000-26000000</f>
        <v>31200000</v>
      </c>
      <c r="M105" s="246" t="s">
        <v>464</v>
      </c>
      <c r="N105" s="53" t="s">
        <v>113</v>
      </c>
      <c r="O105" s="51" t="s">
        <v>220</v>
      </c>
      <c r="P105" s="248" t="str">
        <f>IFERROR(VLOOKUP(C105,TD!$B$33:$F$37,2,0)," ")</f>
        <v>O230117</v>
      </c>
      <c r="Q105" s="248" t="str">
        <f>IFERROR(VLOOKUP(C105,TD!$B$33:$F$37,3,0)," ")</f>
        <v>4599</v>
      </c>
      <c r="R105" s="248">
        <f>IFERROR(VLOOKUP(C105,TD!$B$33:$F$37,4,0)," ")</f>
        <v>20240207</v>
      </c>
      <c r="S105" s="51" t="s">
        <v>193</v>
      </c>
      <c r="T105" s="248" t="str">
        <f>IFERROR(VLOOKUP(S105,TD!$J$34:$K$44,2,0)," ")</f>
        <v>Servicios para la planeación y sistemas de gestión y comunicación estratégica</v>
      </c>
      <c r="U105" s="249" t="str">
        <f>CONCATENATE(S105,"-",T105)</f>
        <v>13-Servicios para la planeación y sistemas de gestión y comunicación estratégica</v>
      </c>
      <c r="V105" s="51" t="s">
        <v>242</v>
      </c>
      <c r="W105" s="248" t="str">
        <f>IFERROR(VLOOKUP(V105,TD!$N$34:$O$46,2,0)," ")</f>
        <v>Documentos de planeación</v>
      </c>
      <c r="X105" s="249" t="str">
        <f>CONCATENATE(V105,"_",W105)</f>
        <v>019_Documentos de planeación</v>
      </c>
      <c r="Y105" s="249" t="str">
        <f>CONCATENATE(U105," ",X105)</f>
        <v>13-Servicios para la planeación y sistemas de gestión y comunicación estratégica 019_Documentos de planeación</v>
      </c>
      <c r="Z105" s="248" t="str">
        <f>CONCATENATE(P105,Q105,R105,S105,V105)</f>
        <v>O23011745992024020713019</v>
      </c>
      <c r="AA105" s="248" t="str">
        <f>IFERROR(VLOOKUP(Y105,TD!$K$47:$L$65,2,0)," ")</f>
        <v>PM/0131/0113/45990190207</v>
      </c>
      <c r="AB105" s="53" t="s">
        <v>138</v>
      </c>
      <c r="AC105" s="250" t="s">
        <v>204</v>
      </c>
    </row>
    <row r="106" spans="2:29" s="28" customFormat="1" ht="56" x14ac:dyDescent="0.35">
      <c r="B106" s="77">
        <v>20250092</v>
      </c>
      <c r="C106" s="50" t="s">
        <v>208</v>
      </c>
      <c r="D106" s="246" t="s">
        <v>161</v>
      </c>
      <c r="E106" s="51" t="s">
        <v>355</v>
      </c>
      <c r="F106" s="246" t="s">
        <v>439</v>
      </c>
      <c r="G106" s="246" t="s">
        <v>155</v>
      </c>
      <c r="H106" s="93">
        <v>80111600</v>
      </c>
      <c r="I106" s="247">
        <v>3</v>
      </c>
      <c r="J106" s="247">
        <v>6</v>
      </c>
      <c r="K106" s="52">
        <v>0</v>
      </c>
      <c r="L106" s="53">
        <v>55200000</v>
      </c>
      <c r="M106" s="246" t="s">
        <v>464</v>
      </c>
      <c r="N106" s="53" t="s">
        <v>113</v>
      </c>
      <c r="O106" s="51" t="s">
        <v>220</v>
      </c>
      <c r="P106" s="248" t="str">
        <f>IFERROR(VLOOKUP(C106,TD!$B$33:$F$37,2,0)," ")</f>
        <v>O230117</v>
      </c>
      <c r="Q106" s="248" t="str">
        <f>IFERROR(VLOOKUP(C106,TD!$B$33:$F$37,3,0)," ")</f>
        <v>4599</v>
      </c>
      <c r="R106" s="248">
        <f>IFERROR(VLOOKUP(C106,TD!$B$33:$F$37,4,0)," ")</f>
        <v>20240207</v>
      </c>
      <c r="S106" s="51" t="s">
        <v>193</v>
      </c>
      <c r="T106" s="248" t="str">
        <f>IFERROR(VLOOKUP(S106,TD!$J$34:$K$44,2,0)," ")</f>
        <v>Servicios para la planeación y sistemas de gestión y comunicación estratégica</v>
      </c>
      <c r="U106" s="249" t="str">
        <f>CONCATENATE(S106,"-",T106)</f>
        <v>13-Servicios para la planeación y sistemas de gestión y comunicación estratégica</v>
      </c>
      <c r="V106" s="51" t="s">
        <v>242</v>
      </c>
      <c r="W106" s="248" t="str">
        <f>IFERROR(VLOOKUP(V106,TD!$N$34:$O$46,2,0)," ")</f>
        <v>Documentos de planeación</v>
      </c>
      <c r="X106" s="249" t="str">
        <f>CONCATENATE(V106,"_",W106)</f>
        <v>019_Documentos de planeación</v>
      </c>
      <c r="Y106" s="249" t="str">
        <f>CONCATENATE(U106," ",X106)</f>
        <v>13-Servicios para la planeación y sistemas de gestión y comunicación estratégica 019_Documentos de planeación</v>
      </c>
      <c r="Z106" s="248" t="str">
        <f>CONCATENATE(P106,Q106,R106,S106,V106)</f>
        <v>O23011745992024020713019</v>
      </c>
      <c r="AA106" s="248" t="str">
        <f>IFERROR(VLOOKUP(Y106,TD!$K$47:$L$65,2,0)," ")</f>
        <v>PM/0131/0113/45990190207</v>
      </c>
      <c r="AB106" s="53" t="s">
        <v>138</v>
      </c>
      <c r="AC106" s="250" t="s">
        <v>204</v>
      </c>
    </row>
    <row r="107" spans="2:29" s="28" customFormat="1" ht="56" x14ac:dyDescent="0.35">
      <c r="B107" s="77">
        <v>20250093</v>
      </c>
      <c r="C107" s="50" t="s">
        <v>208</v>
      </c>
      <c r="D107" s="246" t="s">
        <v>45</v>
      </c>
      <c r="E107" s="51" t="s">
        <v>355</v>
      </c>
      <c r="F107" s="246" t="s">
        <v>927</v>
      </c>
      <c r="G107" s="246" t="s">
        <v>156</v>
      </c>
      <c r="H107" s="93">
        <v>80111600</v>
      </c>
      <c r="I107" s="247">
        <v>5</v>
      </c>
      <c r="J107" s="247">
        <v>7</v>
      </c>
      <c r="K107" s="52">
        <v>0</v>
      </c>
      <c r="L107" s="53">
        <v>24397867</v>
      </c>
      <c r="M107" s="246" t="s">
        <v>464</v>
      </c>
      <c r="N107" s="53" t="s">
        <v>113</v>
      </c>
      <c r="O107" s="51" t="s">
        <v>219</v>
      </c>
      <c r="P107" s="248" t="str">
        <f>IFERROR(VLOOKUP(C107,TD!$B$33:$F$37,2,0)," ")</f>
        <v>O230117</v>
      </c>
      <c r="Q107" s="248" t="str">
        <f>IFERROR(VLOOKUP(C107,TD!$B$33:$F$37,3,0)," ")</f>
        <v>4599</v>
      </c>
      <c r="R107" s="248">
        <f>IFERROR(VLOOKUP(C107,TD!$B$33:$F$37,4,0)," ")</f>
        <v>20240207</v>
      </c>
      <c r="S107" s="51" t="s">
        <v>185</v>
      </c>
      <c r="T107" s="248" t="str">
        <f>IFERROR(VLOOKUP(S107,TD!$J$34:$K$44,2,0)," ")</f>
        <v>Infraestructura física, mantenimiento y dotación (Sedes construidas, mantenidas reforzadas)</v>
      </c>
      <c r="U107" s="249" t="str">
        <f>CONCATENATE(S107,"-",T107)</f>
        <v>08-Infraestructura física, mantenimiento y dotación (Sedes construidas, mantenidas reforzadas)</v>
      </c>
      <c r="V107" s="51" t="s">
        <v>238</v>
      </c>
      <c r="W107" s="248" t="str">
        <f>IFERROR(VLOOKUP(V107,TD!$N$34:$O$46,2,0)," ")</f>
        <v>Sedes mantenidas</v>
      </c>
      <c r="X107" s="249" t="str">
        <f>CONCATENATE(V107,"_",W107)</f>
        <v>016_Sedes mantenidas</v>
      </c>
      <c r="Y107" s="249" t="str">
        <f>CONCATENATE(U107," ",X107)</f>
        <v>08-Infraestructura física, mantenimiento y dotación (Sedes construidas, mantenidas reforzadas) 016_Sedes mantenidas</v>
      </c>
      <c r="Z107" s="248" t="str">
        <f>CONCATENATE(P107,Q107,R107,S107,V107)</f>
        <v>O23011745992024020708016</v>
      </c>
      <c r="AA107" s="248" t="str">
        <f>IFERROR(VLOOKUP(Y107,TD!$K$47:$L$65,2,0)," ")</f>
        <v>PM/0131/0108/45990160207</v>
      </c>
      <c r="AB107" s="53" t="s">
        <v>138</v>
      </c>
      <c r="AC107" s="250" t="s">
        <v>204</v>
      </c>
    </row>
    <row r="108" spans="2:29" s="28" customFormat="1" ht="56" x14ac:dyDescent="0.35">
      <c r="B108" s="77">
        <v>20250094</v>
      </c>
      <c r="C108" s="50" t="s">
        <v>208</v>
      </c>
      <c r="D108" s="246" t="s">
        <v>161</v>
      </c>
      <c r="E108" s="51" t="s">
        <v>355</v>
      </c>
      <c r="F108" s="246" t="s">
        <v>673</v>
      </c>
      <c r="G108" s="246" t="s">
        <v>155</v>
      </c>
      <c r="H108" s="93">
        <v>80111600</v>
      </c>
      <c r="I108" s="247">
        <v>2</v>
      </c>
      <c r="J108" s="247">
        <v>6</v>
      </c>
      <c r="K108" s="52">
        <v>0</v>
      </c>
      <c r="L108" s="53">
        <f>29700000+300000</f>
        <v>30000000</v>
      </c>
      <c r="M108" s="246" t="s">
        <v>464</v>
      </c>
      <c r="N108" s="53" t="s">
        <v>113</v>
      </c>
      <c r="O108" s="51" t="s">
        <v>220</v>
      </c>
      <c r="P108" s="248" t="str">
        <f>IFERROR(VLOOKUP(C108,TD!$B$33:$F$37,2,0)," ")</f>
        <v>O230117</v>
      </c>
      <c r="Q108" s="248" t="str">
        <f>IFERROR(VLOOKUP(C108,TD!$B$33:$F$37,3,0)," ")</f>
        <v>4599</v>
      </c>
      <c r="R108" s="248">
        <f>IFERROR(VLOOKUP(C108,TD!$B$33:$F$37,4,0)," ")</f>
        <v>20240207</v>
      </c>
      <c r="S108" s="51" t="s">
        <v>193</v>
      </c>
      <c r="T108" s="248" t="str">
        <f>IFERROR(VLOOKUP(S108,TD!$J$34:$K$44,2,0)," ")</f>
        <v>Servicios para la planeación y sistemas de gestión y comunicación estratégica</v>
      </c>
      <c r="U108" s="249" t="str">
        <f>CONCATENATE(S108,"-",T108)</f>
        <v>13-Servicios para la planeación y sistemas de gestión y comunicación estratégica</v>
      </c>
      <c r="V108" s="51" t="s">
        <v>242</v>
      </c>
      <c r="W108" s="248" t="str">
        <f>IFERROR(VLOOKUP(V108,TD!$N$34:$O$46,2,0)," ")</f>
        <v>Documentos de planeación</v>
      </c>
      <c r="X108" s="249" t="str">
        <f>CONCATENATE(V108,"_",W108)</f>
        <v>019_Documentos de planeación</v>
      </c>
      <c r="Y108" s="249" t="str">
        <f>CONCATENATE(U108," ",X108)</f>
        <v>13-Servicios para la planeación y sistemas de gestión y comunicación estratégica 019_Documentos de planeación</v>
      </c>
      <c r="Z108" s="248" t="str">
        <f>CONCATENATE(P108,Q108,R108,S108,V108)</f>
        <v>O23011745992024020713019</v>
      </c>
      <c r="AA108" s="248" t="str">
        <f>IFERROR(VLOOKUP(Y108,TD!$K$47:$L$65,2,0)," ")</f>
        <v>PM/0131/0113/45990190207</v>
      </c>
      <c r="AB108" s="53" t="s">
        <v>138</v>
      </c>
      <c r="AC108" s="250" t="s">
        <v>204</v>
      </c>
    </row>
    <row r="109" spans="2:29" s="28" customFormat="1" ht="56" x14ac:dyDescent="0.35">
      <c r="B109" s="77">
        <v>20250095</v>
      </c>
      <c r="C109" s="50" t="s">
        <v>208</v>
      </c>
      <c r="D109" s="246" t="s">
        <v>45</v>
      </c>
      <c r="E109" s="51" t="s">
        <v>355</v>
      </c>
      <c r="F109" s="246" t="s">
        <v>700</v>
      </c>
      <c r="G109" s="246" t="s">
        <v>155</v>
      </c>
      <c r="H109" s="93">
        <v>80111600</v>
      </c>
      <c r="I109" s="247">
        <v>2</v>
      </c>
      <c r="J109" s="247">
        <v>9</v>
      </c>
      <c r="K109" s="52">
        <v>0</v>
      </c>
      <c r="L109" s="53">
        <f>197876507-107876507</f>
        <v>90000000</v>
      </c>
      <c r="M109" s="246" t="s">
        <v>464</v>
      </c>
      <c r="N109" s="53" t="s">
        <v>113</v>
      </c>
      <c r="O109" s="51" t="s">
        <v>219</v>
      </c>
      <c r="P109" s="248" t="str">
        <f>IFERROR(VLOOKUP(C109,TD!$B$33:$F$37,2,0)," ")</f>
        <v>O230117</v>
      </c>
      <c r="Q109" s="248" t="str">
        <f>IFERROR(VLOOKUP(C109,TD!$B$33:$F$37,3,0)," ")</f>
        <v>4599</v>
      </c>
      <c r="R109" s="248">
        <f>IFERROR(VLOOKUP(C109,TD!$B$33:$F$37,4,0)," ")</f>
        <v>20240207</v>
      </c>
      <c r="S109" s="51" t="s">
        <v>185</v>
      </c>
      <c r="T109" s="248" t="str">
        <f>IFERROR(VLOOKUP(S109,TD!$J$34:$K$44,2,0)," ")</f>
        <v>Infraestructura física, mantenimiento y dotación (Sedes construidas, mantenidas reforzadas)</v>
      </c>
      <c r="U109" s="249" t="str">
        <f>CONCATENATE(S109,"-",T109)</f>
        <v>08-Infraestructura física, mantenimiento y dotación (Sedes construidas, mantenidas reforzadas)</v>
      </c>
      <c r="V109" s="51" t="s">
        <v>238</v>
      </c>
      <c r="W109" s="248" t="str">
        <f>IFERROR(VLOOKUP(V109,TD!$N$34:$O$46,2,0)," ")</f>
        <v>Sedes mantenidas</v>
      </c>
      <c r="X109" s="249" t="str">
        <f>CONCATENATE(V109,"_",W109)</f>
        <v>016_Sedes mantenidas</v>
      </c>
      <c r="Y109" s="249" t="str">
        <f>CONCATENATE(U109," ",X109)</f>
        <v>08-Infraestructura física, mantenimiento y dotación (Sedes construidas, mantenidas reforzadas) 016_Sedes mantenidas</v>
      </c>
      <c r="Z109" s="248" t="str">
        <f>CONCATENATE(P109,Q109,R109,S109,V109)</f>
        <v>O23011745992024020708016</v>
      </c>
      <c r="AA109" s="248" t="str">
        <f>IFERROR(VLOOKUP(Y109,TD!$K$47:$L$65,2,0)," ")</f>
        <v>PM/0131/0108/45990160207</v>
      </c>
      <c r="AB109" s="53" t="s">
        <v>138</v>
      </c>
      <c r="AC109" s="250" t="s">
        <v>204</v>
      </c>
    </row>
    <row r="110" spans="2:29" s="28" customFormat="1" ht="56" x14ac:dyDescent="0.35">
      <c r="B110" s="77">
        <v>20250096</v>
      </c>
      <c r="C110" s="50" t="s">
        <v>208</v>
      </c>
      <c r="D110" s="246" t="s">
        <v>45</v>
      </c>
      <c r="E110" s="51" t="s">
        <v>355</v>
      </c>
      <c r="F110" s="246" t="s">
        <v>848</v>
      </c>
      <c r="G110" s="246" t="s">
        <v>155</v>
      </c>
      <c r="H110" s="93">
        <v>80111600</v>
      </c>
      <c r="I110" s="247">
        <v>2</v>
      </c>
      <c r="J110" s="247">
        <v>6</v>
      </c>
      <c r="K110" s="52">
        <v>0</v>
      </c>
      <c r="L110" s="53">
        <v>54000000</v>
      </c>
      <c r="M110" s="246" t="s">
        <v>464</v>
      </c>
      <c r="N110" s="53" t="s">
        <v>113</v>
      </c>
      <c r="O110" s="51" t="s">
        <v>219</v>
      </c>
      <c r="P110" s="248" t="str">
        <f>IFERROR(VLOOKUP(C110,TD!$B$33:$F$37,2,0)," ")</f>
        <v>O230117</v>
      </c>
      <c r="Q110" s="248" t="str">
        <f>IFERROR(VLOOKUP(C110,TD!$B$33:$F$37,3,0)," ")</f>
        <v>4599</v>
      </c>
      <c r="R110" s="248">
        <f>IFERROR(VLOOKUP(C110,TD!$B$33:$F$37,4,0)," ")</f>
        <v>20240207</v>
      </c>
      <c r="S110" s="51" t="s">
        <v>185</v>
      </c>
      <c r="T110" s="248" t="str">
        <f>IFERROR(VLOOKUP(S110,TD!$J$34:$K$44,2,0)," ")</f>
        <v>Infraestructura física, mantenimiento y dotación (Sedes construidas, mantenidas reforzadas)</v>
      </c>
      <c r="U110" s="249" t="str">
        <f>CONCATENATE(S110,"-",T110)</f>
        <v>08-Infraestructura física, mantenimiento y dotación (Sedes construidas, mantenidas reforzadas)</v>
      </c>
      <c r="V110" s="51" t="s">
        <v>238</v>
      </c>
      <c r="W110" s="248" t="str">
        <f>IFERROR(VLOOKUP(V110,TD!$N$34:$O$46,2,0)," ")</f>
        <v>Sedes mantenidas</v>
      </c>
      <c r="X110" s="249" t="str">
        <f>CONCATENATE(V110,"_",W110)</f>
        <v>016_Sedes mantenidas</v>
      </c>
      <c r="Y110" s="249" t="str">
        <f>CONCATENATE(U110," ",X110)</f>
        <v>08-Infraestructura física, mantenimiento y dotación (Sedes construidas, mantenidas reforzadas) 016_Sedes mantenidas</v>
      </c>
      <c r="Z110" s="248" t="str">
        <f>CONCATENATE(P110,Q110,R110,S110,V110)</f>
        <v>O23011745992024020708016</v>
      </c>
      <c r="AA110" s="248" t="str">
        <f>IFERROR(VLOOKUP(Y110,TD!$K$47:$L$65,2,0)," ")</f>
        <v>PM/0131/0108/45990160207</v>
      </c>
      <c r="AB110" s="53" t="s">
        <v>120</v>
      </c>
      <c r="AC110" s="250" t="s">
        <v>204</v>
      </c>
    </row>
    <row r="111" spans="2:29" s="28" customFormat="1" ht="56" x14ac:dyDescent="0.35">
      <c r="B111" s="77">
        <v>20250097</v>
      </c>
      <c r="C111" s="50" t="s">
        <v>209</v>
      </c>
      <c r="D111" s="246" t="s">
        <v>165</v>
      </c>
      <c r="E111" s="51" t="s">
        <v>484</v>
      </c>
      <c r="F111" s="246" t="s">
        <v>708</v>
      </c>
      <c r="G111" s="246" t="s">
        <v>155</v>
      </c>
      <c r="H111" s="93">
        <v>80111600</v>
      </c>
      <c r="I111" s="247">
        <v>1</v>
      </c>
      <c r="J111" s="247">
        <v>11</v>
      </c>
      <c r="K111" s="52">
        <v>0</v>
      </c>
      <c r="L111" s="53">
        <f>87004500-20067000-212500</f>
        <v>66725000</v>
      </c>
      <c r="M111" s="246" t="s">
        <v>464</v>
      </c>
      <c r="N111" s="53" t="s">
        <v>113</v>
      </c>
      <c r="O111" s="51" t="s">
        <v>229</v>
      </c>
      <c r="P111" s="248" t="str">
        <f>IFERROR(VLOOKUP(C111,TD!$B$33:$F$37,2,0)," ")</f>
        <v>O230117</v>
      </c>
      <c r="Q111" s="248" t="str">
        <f>IFERROR(VLOOKUP(C111,TD!$B$33:$F$37,3,0)," ")</f>
        <v>4503</v>
      </c>
      <c r="R111" s="248">
        <f>IFERROR(VLOOKUP(C111,TD!$B$33:$F$37,4,0)," ")</f>
        <v>20240255</v>
      </c>
      <c r="S111" s="51" t="s">
        <v>183</v>
      </c>
      <c r="T111" s="248" t="str">
        <f>IFERROR(VLOOKUP(S111,TD!$J$34:$K$44,2,0)," ")</f>
        <v>Servicio de formación en gestión del riesgo de incendios para el personal UAECOB</v>
      </c>
      <c r="U111" s="249" t="str">
        <f>CONCATENATE(S111,"-",T111)</f>
        <v>07-Servicio de formación en gestión del riesgo de incendios para el personal UAECOB</v>
      </c>
      <c r="V111" s="51" t="s">
        <v>233</v>
      </c>
      <c r="W111" s="248" t="str">
        <f>IFERROR(VLOOKUP(V111,TD!$N$34:$O$46,2,0)," ")</f>
        <v>Servicio de educación informal</v>
      </c>
      <c r="X111" s="249" t="str">
        <f>CONCATENATE(V111,"_",W111)</f>
        <v>002_Servicio de educación informal</v>
      </c>
      <c r="Y111" s="249" t="str">
        <f>CONCATENATE(U111," ",X111)</f>
        <v>07-Servicio de formación en gestión del riesgo de incendios para el personal UAECOB 002_Servicio de educación informal</v>
      </c>
      <c r="Z111" s="248" t="str">
        <f>CONCATENATE(P111,Q111,R111,S111,V111)</f>
        <v>O23011745032024025507002</v>
      </c>
      <c r="AA111" s="248" t="str">
        <f>IFERROR(VLOOKUP(Y111,TD!$K$47:$L$65,2,0)," ")</f>
        <v>PM/0131/0107/45030020255</v>
      </c>
      <c r="AB111" s="53" t="s">
        <v>138</v>
      </c>
      <c r="AC111" s="250" t="s">
        <v>204</v>
      </c>
    </row>
    <row r="112" spans="2:29" s="28" customFormat="1" ht="56" x14ac:dyDescent="0.35">
      <c r="B112" s="77">
        <v>20250098</v>
      </c>
      <c r="C112" s="50" t="s">
        <v>209</v>
      </c>
      <c r="D112" s="246" t="s">
        <v>165</v>
      </c>
      <c r="E112" s="51" t="s">
        <v>484</v>
      </c>
      <c r="F112" s="246" t="s">
        <v>693</v>
      </c>
      <c r="G112" s="246" t="s">
        <v>155</v>
      </c>
      <c r="H112" s="93">
        <v>80111600</v>
      </c>
      <c r="I112" s="247">
        <v>1</v>
      </c>
      <c r="J112" s="247">
        <v>11</v>
      </c>
      <c r="K112" s="52">
        <v>0</v>
      </c>
      <c r="L112" s="53">
        <f>87004500-20067000-212500</f>
        <v>66725000</v>
      </c>
      <c r="M112" s="246" t="s">
        <v>464</v>
      </c>
      <c r="N112" s="53" t="s">
        <v>113</v>
      </c>
      <c r="O112" s="51" t="s">
        <v>229</v>
      </c>
      <c r="P112" s="248" t="str">
        <f>IFERROR(VLOOKUP(C112,TD!$B$33:$F$37,2,0)," ")</f>
        <v>O230117</v>
      </c>
      <c r="Q112" s="248" t="str">
        <f>IFERROR(VLOOKUP(C112,TD!$B$33:$F$37,3,0)," ")</f>
        <v>4503</v>
      </c>
      <c r="R112" s="248">
        <f>IFERROR(VLOOKUP(C112,TD!$B$33:$F$37,4,0)," ")</f>
        <v>20240255</v>
      </c>
      <c r="S112" s="51" t="s">
        <v>183</v>
      </c>
      <c r="T112" s="248" t="str">
        <f>IFERROR(VLOOKUP(S112,TD!$J$34:$K$44,2,0)," ")</f>
        <v>Servicio de formación en gestión del riesgo de incendios para el personal UAECOB</v>
      </c>
      <c r="U112" s="249" t="str">
        <f>CONCATENATE(S112,"-",T112)</f>
        <v>07-Servicio de formación en gestión del riesgo de incendios para el personal UAECOB</v>
      </c>
      <c r="V112" s="51" t="s">
        <v>233</v>
      </c>
      <c r="W112" s="248" t="str">
        <f>IFERROR(VLOOKUP(V112,TD!$N$34:$O$46,2,0)," ")</f>
        <v>Servicio de educación informal</v>
      </c>
      <c r="X112" s="249" t="str">
        <f>CONCATENATE(V112,"_",W112)</f>
        <v>002_Servicio de educación informal</v>
      </c>
      <c r="Y112" s="249" t="str">
        <f>CONCATENATE(U112," ",X112)</f>
        <v>07-Servicio de formación en gestión del riesgo de incendios para el personal UAECOB 002_Servicio de educación informal</v>
      </c>
      <c r="Z112" s="248" t="str">
        <f>CONCATENATE(P112,Q112,R112,S112,V112)</f>
        <v>O23011745032024025507002</v>
      </c>
      <c r="AA112" s="248" t="str">
        <f>IFERROR(VLOOKUP(Y112,TD!$K$47:$L$65,2,0)," ")</f>
        <v>PM/0131/0107/45030020255</v>
      </c>
      <c r="AB112" s="125" t="s">
        <v>120</v>
      </c>
      <c r="AC112" s="250" t="s">
        <v>204</v>
      </c>
    </row>
    <row r="113" spans="2:29" s="28" customFormat="1" ht="56" x14ac:dyDescent="0.35">
      <c r="B113" s="77">
        <v>20250099</v>
      </c>
      <c r="C113" s="50" t="s">
        <v>209</v>
      </c>
      <c r="D113" s="246" t="s">
        <v>165</v>
      </c>
      <c r="E113" s="51" t="s">
        <v>484</v>
      </c>
      <c r="F113" s="246" t="s">
        <v>694</v>
      </c>
      <c r="G113" s="246" t="s">
        <v>155</v>
      </c>
      <c r="H113" s="93">
        <v>80111600</v>
      </c>
      <c r="I113" s="247">
        <v>2</v>
      </c>
      <c r="J113" s="247">
        <v>10</v>
      </c>
      <c r="K113" s="52">
        <v>0</v>
      </c>
      <c r="L113" s="53">
        <f>69603600-11138000-8065600</f>
        <v>50400000</v>
      </c>
      <c r="M113" s="246" t="s">
        <v>464</v>
      </c>
      <c r="N113" s="53" t="s">
        <v>113</v>
      </c>
      <c r="O113" s="51" t="s">
        <v>229</v>
      </c>
      <c r="P113" s="248" t="str">
        <f>IFERROR(VLOOKUP(C113,TD!$B$33:$F$37,2,0)," ")</f>
        <v>O230117</v>
      </c>
      <c r="Q113" s="248" t="str">
        <f>IFERROR(VLOOKUP(C113,TD!$B$33:$F$37,3,0)," ")</f>
        <v>4503</v>
      </c>
      <c r="R113" s="248">
        <f>IFERROR(VLOOKUP(C113,TD!$B$33:$F$37,4,0)," ")</f>
        <v>20240255</v>
      </c>
      <c r="S113" s="51" t="s">
        <v>183</v>
      </c>
      <c r="T113" s="248" t="str">
        <f>IFERROR(VLOOKUP(S113,TD!$J$34:$K$44,2,0)," ")</f>
        <v>Servicio de formación en gestión del riesgo de incendios para el personal UAECOB</v>
      </c>
      <c r="U113" s="249" t="str">
        <f>CONCATENATE(S113,"-",T113)</f>
        <v>07-Servicio de formación en gestión del riesgo de incendios para el personal UAECOB</v>
      </c>
      <c r="V113" s="51" t="s">
        <v>233</v>
      </c>
      <c r="W113" s="248" t="str">
        <f>IFERROR(VLOOKUP(V113,TD!$N$34:$O$46,2,0)," ")</f>
        <v>Servicio de educación informal</v>
      </c>
      <c r="X113" s="249" t="str">
        <f>CONCATENATE(V113,"_",W113)</f>
        <v>002_Servicio de educación informal</v>
      </c>
      <c r="Y113" s="249" t="str">
        <f>CONCATENATE(U113," ",X113)</f>
        <v>07-Servicio de formación en gestión del riesgo de incendios para el personal UAECOB 002_Servicio de educación informal</v>
      </c>
      <c r="Z113" s="248" t="str">
        <f>CONCATENATE(P113,Q113,R113,S113,V113)</f>
        <v>O23011745032024025507002</v>
      </c>
      <c r="AA113" s="248" t="str">
        <f>IFERROR(VLOOKUP(Y113,TD!$K$47:$L$65,2,0)," ")</f>
        <v>PM/0131/0107/45030020255</v>
      </c>
      <c r="AB113" s="125" t="s">
        <v>120</v>
      </c>
      <c r="AC113" s="250" t="s">
        <v>204</v>
      </c>
    </row>
    <row r="114" spans="2:29" s="28" customFormat="1" ht="56" x14ac:dyDescent="0.35">
      <c r="B114" s="77">
        <v>20250100</v>
      </c>
      <c r="C114" s="50" t="s">
        <v>209</v>
      </c>
      <c r="D114" s="246" t="s">
        <v>165</v>
      </c>
      <c r="E114" s="51" t="s">
        <v>484</v>
      </c>
      <c r="F114" s="246" t="s">
        <v>695</v>
      </c>
      <c r="G114" s="246" t="s">
        <v>155</v>
      </c>
      <c r="H114" s="93">
        <v>80111600</v>
      </c>
      <c r="I114" s="247">
        <v>2</v>
      </c>
      <c r="J114" s="247">
        <v>11</v>
      </c>
      <c r="K114" s="52">
        <v>0</v>
      </c>
      <c r="L114" s="53">
        <f>63466883-13066883</f>
        <v>50400000</v>
      </c>
      <c r="M114" s="246" t="s">
        <v>464</v>
      </c>
      <c r="N114" s="53" t="s">
        <v>113</v>
      </c>
      <c r="O114" s="51" t="s">
        <v>229</v>
      </c>
      <c r="P114" s="248" t="str">
        <f>IFERROR(VLOOKUP(C114,TD!$B$33:$F$37,2,0)," ")</f>
        <v>O230117</v>
      </c>
      <c r="Q114" s="248" t="str">
        <f>IFERROR(VLOOKUP(C114,TD!$B$33:$F$37,3,0)," ")</f>
        <v>4503</v>
      </c>
      <c r="R114" s="248">
        <f>IFERROR(VLOOKUP(C114,TD!$B$33:$F$37,4,0)," ")</f>
        <v>20240255</v>
      </c>
      <c r="S114" s="51" t="s">
        <v>183</v>
      </c>
      <c r="T114" s="248" t="str">
        <f>IFERROR(VLOOKUP(S114,TD!$J$34:$K$44,2,0)," ")</f>
        <v>Servicio de formación en gestión del riesgo de incendios para el personal UAECOB</v>
      </c>
      <c r="U114" s="249" t="str">
        <f>CONCATENATE(S114,"-",T114)</f>
        <v>07-Servicio de formación en gestión del riesgo de incendios para el personal UAECOB</v>
      </c>
      <c r="V114" s="51" t="s">
        <v>233</v>
      </c>
      <c r="W114" s="248" t="str">
        <f>IFERROR(VLOOKUP(V114,TD!$N$34:$O$46,2,0)," ")</f>
        <v>Servicio de educación informal</v>
      </c>
      <c r="X114" s="249" t="str">
        <f>CONCATENATE(V114,"_",W114)</f>
        <v>002_Servicio de educación informal</v>
      </c>
      <c r="Y114" s="249" t="str">
        <f>CONCATENATE(U114," ",X114)</f>
        <v>07-Servicio de formación en gestión del riesgo de incendios para el personal UAECOB 002_Servicio de educación informal</v>
      </c>
      <c r="Z114" s="248" t="str">
        <f>CONCATENATE(P114,Q114,R114,S114,V114)</f>
        <v>O23011745032024025507002</v>
      </c>
      <c r="AA114" s="248" t="str">
        <f>IFERROR(VLOOKUP(Y114,TD!$K$47:$L$65,2,0)," ")</f>
        <v>PM/0131/0107/45030020255</v>
      </c>
      <c r="AB114" s="125" t="s">
        <v>120</v>
      </c>
      <c r="AC114" s="250" t="s">
        <v>204</v>
      </c>
    </row>
    <row r="115" spans="2:29" s="28" customFormat="1" ht="56" x14ac:dyDescent="0.35">
      <c r="B115" s="77">
        <v>20250101</v>
      </c>
      <c r="C115" s="50" t="s">
        <v>209</v>
      </c>
      <c r="D115" s="246" t="s">
        <v>165</v>
      </c>
      <c r="E115" s="51" t="s">
        <v>484</v>
      </c>
      <c r="F115" s="246" t="s">
        <v>696</v>
      </c>
      <c r="G115" s="246" t="s">
        <v>155</v>
      </c>
      <c r="H115" s="93">
        <v>80111600</v>
      </c>
      <c r="I115" s="247">
        <v>2</v>
      </c>
      <c r="J115" s="247">
        <v>11</v>
      </c>
      <c r="K115" s="52">
        <v>0</v>
      </c>
      <c r="L115" s="53">
        <f>53316357-986463-11310595-2619299</f>
        <v>38400000</v>
      </c>
      <c r="M115" s="246" t="s">
        <v>464</v>
      </c>
      <c r="N115" s="53" t="s">
        <v>113</v>
      </c>
      <c r="O115" s="51" t="s">
        <v>229</v>
      </c>
      <c r="P115" s="248" t="str">
        <f>IFERROR(VLOOKUP(C115,TD!$B$33:$F$37,2,0)," ")</f>
        <v>O230117</v>
      </c>
      <c r="Q115" s="248" t="str">
        <f>IFERROR(VLOOKUP(C115,TD!$B$33:$F$37,3,0)," ")</f>
        <v>4503</v>
      </c>
      <c r="R115" s="248">
        <f>IFERROR(VLOOKUP(C115,TD!$B$33:$F$37,4,0)," ")</f>
        <v>20240255</v>
      </c>
      <c r="S115" s="51" t="s">
        <v>183</v>
      </c>
      <c r="T115" s="248" t="str">
        <f>IFERROR(VLOOKUP(S115,TD!$J$34:$K$44,2,0)," ")</f>
        <v>Servicio de formación en gestión del riesgo de incendios para el personal UAECOB</v>
      </c>
      <c r="U115" s="249" t="str">
        <f>CONCATENATE(S115,"-",T115)</f>
        <v>07-Servicio de formación en gestión del riesgo de incendios para el personal UAECOB</v>
      </c>
      <c r="V115" s="51" t="s">
        <v>233</v>
      </c>
      <c r="W115" s="248" t="str">
        <f>IFERROR(VLOOKUP(V115,TD!$N$34:$O$46,2,0)," ")</f>
        <v>Servicio de educación informal</v>
      </c>
      <c r="X115" s="249" t="str">
        <f>CONCATENATE(V115,"_",W115)</f>
        <v>002_Servicio de educación informal</v>
      </c>
      <c r="Y115" s="249" t="str">
        <f>CONCATENATE(U115," ",X115)</f>
        <v>07-Servicio de formación en gestión del riesgo de incendios para el personal UAECOB 002_Servicio de educación informal</v>
      </c>
      <c r="Z115" s="248" t="str">
        <f>CONCATENATE(P115,Q115,R115,S115,V115)</f>
        <v>O23011745032024025507002</v>
      </c>
      <c r="AA115" s="248" t="str">
        <f>IFERROR(VLOOKUP(Y115,TD!$K$47:$L$65,2,0)," ")</f>
        <v>PM/0131/0107/45030020255</v>
      </c>
      <c r="AB115" s="53" t="s">
        <v>138</v>
      </c>
      <c r="AC115" s="250" t="s">
        <v>204</v>
      </c>
    </row>
    <row r="116" spans="2:29" s="28" customFormat="1" ht="56" x14ac:dyDescent="0.35">
      <c r="B116" s="77">
        <v>20250102</v>
      </c>
      <c r="C116" s="50" t="s">
        <v>209</v>
      </c>
      <c r="D116" s="246" t="s">
        <v>165</v>
      </c>
      <c r="E116" s="51" t="s">
        <v>484</v>
      </c>
      <c r="F116" s="246" t="s">
        <v>393</v>
      </c>
      <c r="G116" s="246" t="s">
        <v>155</v>
      </c>
      <c r="H116" s="93">
        <v>80111600</v>
      </c>
      <c r="I116" s="247">
        <v>3</v>
      </c>
      <c r="J116" s="247">
        <v>10</v>
      </c>
      <c r="K116" s="52">
        <v>0</v>
      </c>
      <c r="L116" s="53">
        <f>57697166-8868491-2828675</f>
        <v>46000000</v>
      </c>
      <c r="M116" s="246" t="s">
        <v>464</v>
      </c>
      <c r="N116" s="53" t="s">
        <v>113</v>
      </c>
      <c r="O116" s="51" t="s">
        <v>229</v>
      </c>
      <c r="P116" s="248" t="str">
        <f>IFERROR(VLOOKUP(C116,TD!$B$33:$F$37,2,0)," ")</f>
        <v>O230117</v>
      </c>
      <c r="Q116" s="248" t="str">
        <f>IFERROR(VLOOKUP(C116,TD!$B$33:$F$37,3,0)," ")</f>
        <v>4503</v>
      </c>
      <c r="R116" s="248">
        <f>IFERROR(VLOOKUP(C116,TD!$B$33:$F$37,4,0)," ")</f>
        <v>20240255</v>
      </c>
      <c r="S116" s="51" t="s">
        <v>183</v>
      </c>
      <c r="T116" s="248" t="str">
        <f>IFERROR(VLOOKUP(S116,TD!$J$34:$K$44,2,0)," ")</f>
        <v>Servicio de formación en gestión del riesgo de incendios para el personal UAECOB</v>
      </c>
      <c r="U116" s="249" t="str">
        <f>CONCATENATE(S116,"-",T116)</f>
        <v>07-Servicio de formación en gestión del riesgo de incendios para el personal UAECOB</v>
      </c>
      <c r="V116" s="51" t="s">
        <v>233</v>
      </c>
      <c r="W116" s="248" t="str">
        <f>IFERROR(VLOOKUP(V116,TD!$N$34:$O$46,2,0)," ")</f>
        <v>Servicio de educación informal</v>
      </c>
      <c r="X116" s="249" t="str">
        <f>CONCATENATE(V116,"_",W116)</f>
        <v>002_Servicio de educación informal</v>
      </c>
      <c r="Y116" s="249" t="str">
        <f>CONCATENATE(U116," ",X116)</f>
        <v>07-Servicio de formación en gestión del riesgo de incendios para el personal UAECOB 002_Servicio de educación informal</v>
      </c>
      <c r="Z116" s="248" t="str">
        <f>CONCATENATE(P116,Q116,R116,S116,V116)</f>
        <v>O23011745032024025507002</v>
      </c>
      <c r="AA116" s="248" t="str">
        <f>IFERROR(VLOOKUP(Y116,TD!$K$47:$L$65,2,0)," ")</f>
        <v>PM/0131/0107/45030020255</v>
      </c>
      <c r="AB116" s="53" t="s">
        <v>138</v>
      </c>
      <c r="AC116" s="250" t="s">
        <v>204</v>
      </c>
    </row>
    <row r="117" spans="2:29" s="28" customFormat="1" ht="56" x14ac:dyDescent="0.35">
      <c r="B117" s="77">
        <v>20250103</v>
      </c>
      <c r="C117" s="50" t="s">
        <v>209</v>
      </c>
      <c r="D117" s="246" t="s">
        <v>165</v>
      </c>
      <c r="E117" s="51" t="s">
        <v>484</v>
      </c>
      <c r="F117" s="246" t="s">
        <v>394</v>
      </c>
      <c r="G117" s="246" t="s">
        <v>155</v>
      </c>
      <c r="H117" s="93">
        <v>80111600</v>
      </c>
      <c r="I117" s="247">
        <v>2</v>
      </c>
      <c r="J117" s="247">
        <v>8</v>
      </c>
      <c r="K117" s="52">
        <v>0</v>
      </c>
      <c r="L117" s="53">
        <v>31500000</v>
      </c>
      <c r="M117" s="246" t="s">
        <v>464</v>
      </c>
      <c r="N117" s="53" t="s">
        <v>113</v>
      </c>
      <c r="O117" s="51" t="s">
        <v>229</v>
      </c>
      <c r="P117" s="248" t="str">
        <f>IFERROR(VLOOKUP(C117,TD!$B$33:$F$37,2,0)," ")</f>
        <v>O230117</v>
      </c>
      <c r="Q117" s="248" t="str">
        <f>IFERROR(VLOOKUP(C117,TD!$B$33:$F$37,3,0)," ")</f>
        <v>4503</v>
      </c>
      <c r="R117" s="248">
        <f>IFERROR(VLOOKUP(C117,TD!$B$33:$F$37,4,0)," ")</f>
        <v>20240255</v>
      </c>
      <c r="S117" s="51" t="s">
        <v>183</v>
      </c>
      <c r="T117" s="248" t="str">
        <f>IFERROR(VLOOKUP(S117,TD!$J$34:$K$44,2,0)," ")</f>
        <v>Servicio de formación en gestión del riesgo de incendios para el personal UAECOB</v>
      </c>
      <c r="U117" s="249" t="str">
        <f>CONCATENATE(S117,"-",T117)</f>
        <v>07-Servicio de formación en gestión del riesgo de incendios para el personal UAECOB</v>
      </c>
      <c r="V117" s="51" t="s">
        <v>233</v>
      </c>
      <c r="W117" s="248" t="str">
        <f>IFERROR(VLOOKUP(V117,TD!$N$34:$O$46,2,0)," ")</f>
        <v>Servicio de educación informal</v>
      </c>
      <c r="X117" s="249" t="str">
        <f>CONCATENATE(V117,"_",W117)</f>
        <v>002_Servicio de educación informal</v>
      </c>
      <c r="Y117" s="249" t="str">
        <f>CONCATENATE(U117," ",X117)</f>
        <v>07-Servicio de formación en gestión del riesgo de incendios para el personal UAECOB 002_Servicio de educación informal</v>
      </c>
      <c r="Z117" s="248" t="str">
        <f>CONCATENATE(P117,Q117,R117,S117,V117)</f>
        <v>O23011745032024025507002</v>
      </c>
      <c r="AA117" s="248" t="str">
        <f>IFERROR(VLOOKUP(Y117,TD!$K$47:$L$65,2,0)," ")</f>
        <v>PM/0131/0107/45030020255</v>
      </c>
      <c r="AB117" s="53" t="s">
        <v>138</v>
      </c>
      <c r="AC117" s="250" t="s">
        <v>204</v>
      </c>
    </row>
    <row r="118" spans="2:29" s="28" customFormat="1" ht="56" x14ac:dyDescent="0.35">
      <c r="B118" s="77">
        <v>20250104</v>
      </c>
      <c r="C118" s="50" t="s">
        <v>209</v>
      </c>
      <c r="D118" s="246" t="s">
        <v>165</v>
      </c>
      <c r="E118" s="51" t="s">
        <v>484</v>
      </c>
      <c r="F118" s="246" t="s">
        <v>395</v>
      </c>
      <c r="G118" s="246" t="s">
        <v>156</v>
      </c>
      <c r="H118" s="93">
        <v>80111600</v>
      </c>
      <c r="I118" s="247">
        <v>2</v>
      </c>
      <c r="J118" s="247">
        <v>8</v>
      </c>
      <c r="K118" s="52">
        <v>0</v>
      </c>
      <c r="L118" s="53">
        <f>32481207-481207</f>
        <v>32000000</v>
      </c>
      <c r="M118" s="246" t="s">
        <v>464</v>
      </c>
      <c r="N118" s="53" t="s">
        <v>113</v>
      </c>
      <c r="O118" s="51" t="s">
        <v>229</v>
      </c>
      <c r="P118" s="248" t="str">
        <f>IFERROR(VLOOKUP(C118,TD!$B$33:$F$37,2,0)," ")</f>
        <v>O230117</v>
      </c>
      <c r="Q118" s="248" t="str">
        <f>IFERROR(VLOOKUP(C118,TD!$B$33:$F$37,3,0)," ")</f>
        <v>4503</v>
      </c>
      <c r="R118" s="248">
        <f>IFERROR(VLOOKUP(C118,TD!$B$33:$F$37,4,0)," ")</f>
        <v>20240255</v>
      </c>
      <c r="S118" s="51" t="s">
        <v>183</v>
      </c>
      <c r="T118" s="248" t="str">
        <f>IFERROR(VLOOKUP(S118,TD!$J$34:$K$44,2,0)," ")</f>
        <v>Servicio de formación en gestión del riesgo de incendios para el personal UAECOB</v>
      </c>
      <c r="U118" s="249" t="str">
        <f>CONCATENATE(S118,"-",T118)</f>
        <v>07-Servicio de formación en gestión del riesgo de incendios para el personal UAECOB</v>
      </c>
      <c r="V118" s="51" t="s">
        <v>233</v>
      </c>
      <c r="W118" s="248" t="str">
        <f>IFERROR(VLOOKUP(V118,TD!$N$34:$O$46,2,0)," ")</f>
        <v>Servicio de educación informal</v>
      </c>
      <c r="X118" s="249" t="str">
        <f>CONCATENATE(V118,"_",W118)</f>
        <v>002_Servicio de educación informal</v>
      </c>
      <c r="Y118" s="249" t="str">
        <f>CONCATENATE(U118," ",X118)</f>
        <v>07-Servicio de formación en gestión del riesgo de incendios para el personal UAECOB 002_Servicio de educación informal</v>
      </c>
      <c r="Z118" s="248" t="str">
        <f>CONCATENATE(P118,Q118,R118,S118,V118)</f>
        <v>O23011745032024025507002</v>
      </c>
      <c r="AA118" s="248" t="str">
        <f>IFERROR(VLOOKUP(Y118,TD!$K$47:$L$65,2,0)," ")</f>
        <v>PM/0131/0107/45030020255</v>
      </c>
      <c r="AB118" s="53" t="s">
        <v>138</v>
      </c>
      <c r="AC118" s="250" t="s">
        <v>204</v>
      </c>
    </row>
    <row r="119" spans="2:29" s="28" customFormat="1" ht="70" x14ac:dyDescent="0.35">
      <c r="B119" s="77">
        <v>20250105</v>
      </c>
      <c r="C119" s="50" t="s">
        <v>209</v>
      </c>
      <c r="D119" s="246" t="s">
        <v>165</v>
      </c>
      <c r="E119" s="51" t="s">
        <v>484</v>
      </c>
      <c r="F119" s="246" t="s">
        <v>396</v>
      </c>
      <c r="G119" s="246" t="s">
        <v>155</v>
      </c>
      <c r="H119" s="93">
        <v>80111600</v>
      </c>
      <c r="I119" s="247">
        <v>2</v>
      </c>
      <c r="J119" s="247">
        <v>11</v>
      </c>
      <c r="K119" s="52">
        <v>0</v>
      </c>
      <c r="L119" s="53">
        <f>69603600-12903600</f>
        <v>56700000</v>
      </c>
      <c r="M119" s="246" t="s">
        <v>464</v>
      </c>
      <c r="N119" s="53" t="s">
        <v>113</v>
      </c>
      <c r="O119" s="51" t="s">
        <v>229</v>
      </c>
      <c r="P119" s="248" t="str">
        <f>IFERROR(VLOOKUP(C119,TD!$B$33:$F$37,2,0)," ")</f>
        <v>O230117</v>
      </c>
      <c r="Q119" s="248" t="str">
        <f>IFERROR(VLOOKUP(C119,TD!$B$33:$F$37,3,0)," ")</f>
        <v>4503</v>
      </c>
      <c r="R119" s="248">
        <f>IFERROR(VLOOKUP(C119,TD!$B$33:$F$37,4,0)," ")</f>
        <v>20240255</v>
      </c>
      <c r="S119" s="51" t="s">
        <v>183</v>
      </c>
      <c r="T119" s="248" t="str">
        <f>IFERROR(VLOOKUP(S119,TD!$J$34:$K$44,2,0)," ")</f>
        <v>Servicio de formación en gestión del riesgo de incendios para el personal UAECOB</v>
      </c>
      <c r="U119" s="249" t="str">
        <f>CONCATENATE(S119,"-",T119)</f>
        <v>07-Servicio de formación en gestión del riesgo de incendios para el personal UAECOB</v>
      </c>
      <c r="V119" s="51" t="s">
        <v>233</v>
      </c>
      <c r="W119" s="248" t="str">
        <f>IFERROR(VLOOKUP(V119,TD!$N$34:$O$46,2,0)," ")</f>
        <v>Servicio de educación informal</v>
      </c>
      <c r="X119" s="249" t="str">
        <f>CONCATENATE(V119,"_",W119)</f>
        <v>002_Servicio de educación informal</v>
      </c>
      <c r="Y119" s="249" t="str">
        <f>CONCATENATE(U119," ",X119)</f>
        <v>07-Servicio de formación en gestión del riesgo de incendios para el personal UAECOB 002_Servicio de educación informal</v>
      </c>
      <c r="Z119" s="248" t="str">
        <f>CONCATENATE(P119,Q119,R119,S119,V119)</f>
        <v>O23011745032024025507002</v>
      </c>
      <c r="AA119" s="248" t="str">
        <f>IFERROR(VLOOKUP(Y119,TD!$K$47:$L$65,2,0)," ")</f>
        <v>PM/0131/0107/45030020255</v>
      </c>
      <c r="AB119" s="53" t="s">
        <v>138</v>
      </c>
      <c r="AC119" s="250" t="s">
        <v>204</v>
      </c>
    </row>
    <row r="120" spans="2:29" s="28" customFormat="1" ht="56" x14ac:dyDescent="0.35">
      <c r="B120" s="77">
        <v>20250106</v>
      </c>
      <c r="C120" s="50" t="s">
        <v>209</v>
      </c>
      <c r="D120" s="246" t="s">
        <v>165</v>
      </c>
      <c r="E120" s="51" t="s">
        <v>484</v>
      </c>
      <c r="F120" s="246" t="s">
        <v>397</v>
      </c>
      <c r="G120" s="246" t="s">
        <v>155</v>
      </c>
      <c r="H120" s="93">
        <v>80111600</v>
      </c>
      <c r="I120" s="247">
        <v>2</v>
      </c>
      <c r="J120" s="247">
        <v>11</v>
      </c>
      <c r="K120" s="52">
        <v>0</v>
      </c>
      <c r="L120" s="53">
        <f>50520613-1175643-10476595-75042</f>
        <v>38793333</v>
      </c>
      <c r="M120" s="246" t="s">
        <v>464</v>
      </c>
      <c r="N120" s="53" t="s">
        <v>113</v>
      </c>
      <c r="O120" s="51" t="s">
        <v>229</v>
      </c>
      <c r="P120" s="248" t="str">
        <f>IFERROR(VLOOKUP(C120,TD!$B$33:$F$37,2,0)," ")</f>
        <v>O230117</v>
      </c>
      <c r="Q120" s="248" t="str">
        <f>IFERROR(VLOOKUP(C120,TD!$B$33:$F$37,3,0)," ")</f>
        <v>4503</v>
      </c>
      <c r="R120" s="248">
        <f>IFERROR(VLOOKUP(C120,TD!$B$33:$F$37,4,0)," ")</f>
        <v>20240255</v>
      </c>
      <c r="S120" s="51" t="s">
        <v>183</v>
      </c>
      <c r="T120" s="248" t="str">
        <f>IFERROR(VLOOKUP(S120,TD!$J$34:$K$44,2,0)," ")</f>
        <v>Servicio de formación en gestión del riesgo de incendios para el personal UAECOB</v>
      </c>
      <c r="U120" s="249" t="str">
        <f>CONCATENATE(S120,"-",T120)</f>
        <v>07-Servicio de formación en gestión del riesgo de incendios para el personal UAECOB</v>
      </c>
      <c r="V120" s="51" t="s">
        <v>233</v>
      </c>
      <c r="W120" s="248" t="str">
        <f>IFERROR(VLOOKUP(V120,TD!$N$34:$O$46,2,0)," ")</f>
        <v>Servicio de educación informal</v>
      </c>
      <c r="X120" s="249" t="str">
        <f>CONCATENATE(V120,"_",W120)</f>
        <v>002_Servicio de educación informal</v>
      </c>
      <c r="Y120" s="249" t="str">
        <f>CONCATENATE(U120," ",X120)</f>
        <v>07-Servicio de formación en gestión del riesgo de incendios para el personal UAECOB 002_Servicio de educación informal</v>
      </c>
      <c r="Z120" s="248" t="str">
        <f>CONCATENATE(P120,Q120,R120,S120,V120)</f>
        <v>O23011745032024025507002</v>
      </c>
      <c r="AA120" s="248" t="str">
        <f>IFERROR(VLOOKUP(Y120,TD!$K$47:$L$65,2,0)," ")</f>
        <v>PM/0131/0107/45030020255</v>
      </c>
      <c r="AB120" s="53" t="s">
        <v>138</v>
      </c>
      <c r="AC120" s="250" t="s">
        <v>204</v>
      </c>
    </row>
    <row r="121" spans="2:29" s="28" customFormat="1" ht="56" x14ac:dyDescent="0.35">
      <c r="B121" s="77">
        <v>20250107</v>
      </c>
      <c r="C121" s="50" t="s">
        <v>209</v>
      </c>
      <c r="D121" s="246" t="s">
        <v>165</v>
      </c>
      <c r="E121" s="51" t="s">
        <v>484</v>
      </c>
      <c r="F121" s="246" t="s">
        <v>710</v>
      </c>
      <c r="G121" s="246" t="s">
        <v>155</v>
      </c>
      <c r="H121" s="93">
        <v>80111600</v>
      </c>
      <c r="I121" s="247">
        <v>2</v>
      </c>
      <c r="J121" s="247">
        <v>11</v>
      </c>
      <c r="K121" s="52">
        <v>0</v>
      </c>
      <c r="L121" s="53">
        <f>69603600-16053600-2450000</f>
        <v>51100000</v>
      </c>
      <c r="M121" s="246" t="s">
        <v>464</v>
      </c>
      <c r="N121" s="53" t="s">
        <v>113</v>
      </c>
      <c r="O121" s="51" t="s">
        <v>229</v>
      </c>
      <c r="P121" s="248" t="str">
        <f>IFERROR(VLOOKUP(C121,TD!$B$33:$F$37,2,0)," ")</f>
        <v>O230117</v>
      </c>
      <c r="Q121" s="248" t="str">
        <f>IFERROR(VLOOKUP(C121,TD!$B$33:$F$37,3,0)," ")</f>
        <v>4503</v>
      </c>
      <c r="R121" s="248">
        <f>IFERROR(VLOOKUP(C121,TD!$B$33:$F$37,4,0)," ")</f>
        <v>20240255</v>
      </c>
      <c r="S121" s="51" t="s">
        <v>183</v>
      </c>
      <c r="T121" s="248" t="str">
        <f>IFERROR(VLOOKUP(S121,TD!$J$34:$K$44,2,0)," ")</f>
        <v>Servicio de formación en gestión del riesgo de incendios para el personal UAECOB</v>
      </c>
      <c r="U121" s="249" t="str">
        <f>CONCATENATE(S121,"-",T121)</f>
        <v>07-Servicio de formación en gestión del riesgo de incendios para el personal UAECOB</v>
      </c>
      <c r="V121" s="51" t="s">
        <v>233</v>
      </c>
      <c r="W121" s="248" t="str">
        <f>IFERROR(VLOOKUP(V121,TD!$N$34:$O$46,2,0)," ")</f>
        <v>Servicio de educación informal</v>
      </c>
      <c r="X121" s="249" t="str">
        <f>CONCATENATE(V121,"_",W121)</f>
        <v>002_Servicio de educación informal</v>
      </c>
      <c r="Y121" s="249" t="str">
        <f>CONCATENATE(U121," ",X121)</f>
        <v>07-Servicio de formación en gestión del riesgo de incendios para el personal UAECOB 002_Servicio de educación informal</v>
      </c>
      <c r="Z121" s="248" t="str">
        <f>CONCATENATE(P121,Q121,R121,S121,V121)</f>
        <v>O23011745032024025507002</v>
      </c>
      <c r="AA121" s="248" t="str">
        <f>IFERROR(VLOOKUP(Y121,TD!$K$47:$L$65,2,0)," ")</f>
        <v>PM/0131/0107/45030020255</v>
      </c>
      <c r="AB121" s="53" t="s">
        <v>138</v>
      </c>
      <c r="AC121" s="250" t="s">
        <v>204</v>
      </c>
    </row>
    <row r="122" spans="2:29" s="28" customFormat="1" ht="56" x14ac:dyDescent="0.35">
      <c r="B122" s="77">
        <v>20250108</v>
      </c>
      <c r="C122" s="50" t="s">
        <v>209</v>
      </c>
      <c r="D122" s="246" t="s">
        <v>165</v>
      </c>
      <c r="E122" s="51" t="s">
        <v>484</v>
      </c>
      <c r="F122" s="246" t="s">
        <v>398</v>
      </c>
      <c r="G122" s="246" t="s">
        <v>155</v>
      </c>
      <c r="H122" s="93">
        <v>80111600</v>
      </c>
      <c r="I122" s="247">
        <v>2</v>
      </c>
      <c r="J122" s="247">
        <v>11</v>
      </c>
      <c r="K122" s="52">
        <v>0</v>
      </c>
      <c r="L122" s="53">
        <f>48873328-8302138-71190</f>
        <v>40500000</v>
      </c>
      <c r="M122" s="246" t="s">
        <v>464</v>
      </c>
      <c r="N122" s="53" t="s">
        <v>113</v>
      </c>
      <c r="O122" s="51" t="s">
        <v>229</v>
      </c>
      <c r="P122" s="248" t="str">
        <f>IFERROR(VLOOKUP(C122,TD!$B$33:$F$37,2,0)," ")</f>
        <v>O230117</v>
      </c>
      <c r="Q122" s="248" t="str">
        <f>IFERROR(VLOOKUP(C122,TD!$B$33:$F$37,3,0)," ")</f>
        <v>4503</v>
      </c>
      <c r="R122" s="248">
        <f>IFERROR(VLOOKUP(C122,TD!$B$33:$F$37,4,0)," ")</f>
        <v>20240255</v>
      </c>
      <c r="S122" s="51" t="s">
        <v>183</v>
      </c>
      <c r="T122" s="248" t="str">
        <f>IFERROR(VLOOKUP(S122,TD!$J$34:$K$44,2,0)," ")</f>
        <v>Servicio de formación en gestión del riesgo de incendios para el personal UAECOB</v>
      </c>
      <c r="U122" s="249" t="str">
        <f>CONCATENATE(S122,"-",T122)</f>
        <v>07-Servicio de formación en gestión del riesgo de incendios para el personal UAECOB</v>
      </c>
      <c r="V122" s="51" t="s">
        <v>233</v>
      </c>
      <c r="W122" s="248" t="str">
        <f>IFERROR(VLOOKUP(V122,TD!$N$34:$O$46,2,0)," ")</f>
        <v>Servicio de educación informal</v>
      </c>
      <c r="X122" s="249" t="str">
        <f>CONCATENATE(V122,"_",W122)</f>
        <v>002_Servicio de educación informal</v>
      </c>
      <c r="Y122" s="249" t="str">
        <f>CONCATENATE(U122," ",X122)</f>
        <v>07-Servicio de formación en gestión del riesgo de incendios para el personal UAECOB 002_Servicio de educación informal</v>
      </c>
      <c r="Z122" s="248" t="str">
        <f>CONCATENATE(P122,Q122,R122,S122,V122)</f>
        <v>O23011745032024025507002</v>
      </c>
      <c r="AA122" s="248" t="str">
        <f>IFERROR(VLOOKUP(Y122,TD!$K$47:$L$65,2,0)," ")</f>
        <v>PM/0131/0107/45030020255</v>
      </c>
      <c r="AB122" s="53" t="s">
        <v>138</v>
      </c>
      <c r="AC122" s="250" t="s">
        <v>204</v>
      </c>
    </row>
    <row r="123" spans="2:29" s="28" customFormat="1" ht="56" x14ac:dyDescent="0.35">
      <c r="B123" s="77">
        <v>20250109</v>
      </c>
      <c r="C123" s="50" t="s">
        <v>209</v>
      </c>
      <c r="D123" s="246" t="s">
        <v>165</v>
      </c>
      <c r="E123" s="51" t="s">
        <v>484</v>
      </c>
      <c r="F123" s="246" t="s">
        <v>392</v>
      </c>
      <c r="G123" s="246" t="s">
        <v>155</v>
      </c>
      <c r="H123" s="93">
        <v>80111600</v>
      </c>
      <c r="I123" s="247">
        <v>3</v>
      </c>
      <c r="J123" s="247">
        <v>10</v>
      </c>
      <c r="K123" s="52">
        <v>0</v>
      </c>
      <c r="L123" s="53">
        <f>57697166-11740766-8581400</f>
        <v>37375000</v>
      </c>
      <c r="M123" s="246" t="s">
        <v>464</v>
      </c>
      <c r="N123" s="53" t="s">
        <v>113</v>
      </c>
      <c r="O123" s="51" t="s">
        <v>229</v>
      </c>
      <c r="P123" s="248" t="str">
        <f>IFERROR(VLOOKUP(C123,TD!$B$33:$F$37,2,0)," ")</f>
        <v>O230117</v>
      </c>
      <c r="Q123" s="248" t="str">
        <f>IFERROR(VLOOKUP(C123,TD!$B$33:$F$37,3,0)," ")</f>
        <v>4503</v>
      </c>
      <c r="R123" s="248">
        <f>IFERROR(VLOOKUP(C123,TD!$B$33:$F$37,4,0)," ")</f>
        <v>20240255</v>
      </c>
      <c r="S123" s="51" t="s">
        <v>183</v>
      </c>
      <c r="T123" s="248" t="str">
        <f>IFERROR(VLOOKUP(S123,TD!$J$34:$K$44,2,0)," ")</f>
        <v>Servicio de formación en gestión del riesgo de incendios para el personal UAECOB</v>
      </c>
      <c r="U123" s="249" t="str">
        <f>CONCATENATE(S123,"-",T123)</f>
        <v>07-Servicio de formación en gestión del riesgo de incendios para el personal UAECOB</v>
      </c>
      <c r="V123" s="51" t="s">
        <v>233</v>
      </c>
      <c r="W123" s="248" t="str">
        <f>IFERROR(VLOOKUP(V123,TD!$N$34:$O$46,2,0)," ")</f>
        <v>Servicio de educación informal</v>
      </c>
      <c r="X123" s="249" t="str">
        <f>CONCATENATE(V123,"_",W123)</f>
        <v>002_Servicio de educación informal</v>
      </c>
      <c r="Y123" s="249" t="str">
        <f>CONCATENATE(U123," ",X123)</f>
        <v>07-Servicio de formación en gestión del riesgo de incendios para el personal UAECOB 002_Servicio de educación informal</v>
      </c>
      <c r="Z123" s="248" t="str">
        <f>CONCATENATE(P123,Q123,R123,S123,V123)</f>
        <v>O23011745032024025507002</v>
      </c>
      <c r="AA123" s="248" t="str">
        <f>IFERROR(VLOOKUP(Y123,TD!$K$47:$L$65,2,0)," ")</f>
        <v>PM/0131/0107/45030020255</v>
      </c>
      <c r="AB123" s="53" t="s">
        <v>138</v>
      </c>
      <c r="AC123" s="250" t="s">
        <v>204</v>
      </c>
    </row>
    <row r="124" spans="2:29" s="28" customFormat="1" ht="56" x14ac:dyDescent="0.35">
      <c r="B124" s="77">
        <v>20250110</v>
      </c>
      <c r="C124" s="50" t="s">
        <v>209</v>
      </c>
      <c r="D124" s="246" t="s">
        <v>165</v>
      </c>
      <c r="E124" s="51" t="s">
        <v>484</v>
      </c>
      <c r="F124" s="246" t="s">
        <v>399</v>
      </c>
      <c r="G124" s="246" t="s">
        <v>155</v>
      </c>
      <c r="H124" s="93">
        <v>80111600</v>
      </c>
      <c r="I124" s="247">
        <v>2</v>
      </c>
      <c r="J124" s="247">
        <v>11</v>
      </c>
      <c r="K124" s="52">
        <v>0</v>
      </c>
      <c r="L124" s="53">
        <f>52202700-2255576-9784624-1762500</f>
        <v>38400000</v>
      </c>
      <c r="M124" s="246" t="s">
        <v>464</v>
      </c>
      <c r="N124" s="53" t="s">
        <v>113</v>
      </c>
      <c r="O124" s="51" t="s">
        <v>229</v>
      </c>
      <c r="P124" s="248" t="str">
        <f>IFERROR(VLOOKUP(C124,TD!$B$33:$F$37,2,0)," ")</f>
        <v>O230117</v>
      </c>
      <c r="Q124" s="248" t="str">
        <f>IFERROR(VLOOKUP(C124,TD!$B$33:$F$37,3,0)," ")</f>
        <v>4503</v>
      </c>
      <c r="R124" s="248">
        <f>IFERROR(VLOOKUP(C124,TD!$B$33:$F$37,4,0)," ")</f>
        <v>20240255</v>
      </c>
      <c r="S124" s="51" t="s">
        <v>183</v>
      </c>
      <c r="T124" s="248" t="str">
        <f>IFERROR(VLOOKUP(S124,TD!$J$34:$K$44,2,0)," ")</f>
        <v>Servicio de formación en gestión del riesgo de incendios para el personal UAECOB</v>
      </c>
      <c r="U124" s="249" t="str">
        <f>CONCATENATE(S124,"-",T124)</f>
        <v>07-Servicio de formación en gestión del riesgo de incendios para el personal UAECOB</v>
      </c>
      <c r="V124" s="51" t="s">
        <v>233</v>
      </c>
      <c r="W124" s="248" t="str">
        <f>IFERROR(VLOOKUP(V124,TD!$N$34:$O$46,2,0)," ")</f>
        <v>Servicio de educación informal</v>
      </c>
      <c r="X124" s="249" t="str">
        <f>CONCATENATE(V124,"_",W124)</f>
        <v>002_Servicio de educación informal</v>
      </c>
      <c r="Y124" s="249" t="str">
        <f>CONCATENATE(U124," ",X124)</f>
        <v>07-Servicio de formación en gestión del riesgo de incendios para el personal UAECOB 002_Servicio de educación informal</v>
      </c>
      <c r="Z124" s="248" t="str">
        <f>CONCATENATE(P124,Q124,R124,S124,V124)</f>
        <v>O23011745032024025507002</v>
      </c>
      <c r="AA124" s="248" t="str">
        <f>IFERROR(VLOOKUP(Y124,TD!$K$47:$L$65,2,0)," ")</f>
        <v>PM/0131/0107/45030020255</v>
      </c>
      <c r="AB124" s="53" t="s">
        <v>138</v>
      </c>
      <c r="AC124" s="250" t="s">
        <v>204</v>
      </c>
    </row>
    <row r="125" spans="2:29" s="28" customFormat="1" ht="56" x14ac:dyDescent="0.35">
      <c r="B125" s="77">
        <v>20250111</v>
      </c>
      <c r="C125" s="50" t="s">
        <v>209</v>
      </c>
      <c r="D125" s="246" t="s">
        <v>165</v>
      </c>
      <c r="E125" s="51" t="s">
        <v>484</v>
      </c>
      <c r="F125" s="246" t="s">
        <v>400</v>
      </c>
      <c r="G125" s="246" t="s">
        <v>156</v>
      </c>
      <c r="H125" s="93">
        <v>80111600</v>
      </c>
      <c r="I125" s="247">
        <v>2</v>
      </c>
      <c r="J125" s="247">
        <v>11</v>
      </c>
      <c r="K125" s="52">
        <v>0</v>
      </c>
      <c r="L125" s="53">
        <f>38073169-7058269-499900</f>
        <v>30515000</v>
      </c>
      <c r="M125" s="246" t="s">
        <v>464</v>
      </c>
      <c r="N125" s="53" t="s">
        <v>113</v>
      </c>
      <c r="O125" s="51" t="s">
        <v>229</v>
      </c>
      <c r="P125" s="248" t="str">
        <f>IFERROR(VLOOKUP(C125,TD!$B$33:$F$37,2,0)," ")</f>
        <v>O230117</v>
      </c>
      <c r="Q125" s="248" t="str">
        <f>IFERROR(VLOOKUP(C125,TD!$B$33:$F$37,3,0)," ")</f>
        <v>4503</v>
      </c>
      <c r="R125" s="248">
        <f>IFERROR(VLOOKUP(C125,TD!$B$33:$F$37,4,0)," ")</f>
        <v>20240255</v>
      </c>
      <c r="S125" s="51" t="s">
        <v>183</v>
      </c>
      <c r="T125" s="248" t="str">
        <f>IFERROR(VLOOKUP(S125,TD!$J$34:$K$44,2,0)," ")</f>
        <v>Servicio de formación en gestión del riesgo de incendios para el personal UAECOB</v>
      </c>
      <c r="U125" s="249" t="str">
        <f>CONCATENATE(S125,"-",T125)</f>
        <v>07-Servicio de formación en gestión del riesgo de incendios para el personal UAECOB</v>
      </c>
      <c r="V125" s="51" t="s">
        <v>233</v>
      </c>
      <c r="W125" s="248" t="str">
        <f>IFERROR(VLOOKUP(V125,TD!$N$34:$O$46,2,0)," ")</f>
        <v>Servicio de educación informal</v>
      </c>
      <c r="X125" s="249" t="str">
        <f>CONCATENATE(V125,"_",W125)</f>
        <v>002_Servicio de educación informal</v>
      </c>
      <c r="Y125" s="249" t="str">
        <f>CONCATENATE(U125," ",X125)</f>
        <v>07-Servicio de formación en gestión del riesgo de incendios para el personal UAECOB 002_Servicio de educación informal</v>
      </c>
      <c r="Z125" s="248" t="str">
        <f>CONCATENATE(P125,Q125,R125,S125,V125)</f>
        <v>O23011745032024025507002</v>
      </c>
      <c r="AA125" s="248" t="str">
        <f>IFERROR(VLOOKUP(Y125,TD!$K$47:$L$65,2,0)," ")</f>
        <v>PM/0131/0107/45030020255</v>
      </c>
      <c r="AB125" s="53" t="s">
        <v>138</v>
      </c>
      <c r="AC125" s="250" t="s">
        <v>204</v>
      </c>
    </row>
    <row r="126" spans="2:29" s="28" customFormat="1" ht="56" x14ac:dyDescent="0.35">
      <c r="B126" s="77">
        <v>20250112</v>
      </c>
      <c r="C126" s="50" t="s">
        <v>209</v>
      </c>
      <c r="D126" s="246" t="s">
        <v>165</v>
      </c>
      <c r="E126" s="51" t="s">
        <v>484</v>
      </c>
      <c r="F126" s="246" t="s">
        <v>401</v>
      </c>
      <c r="G126" s="246" t="s">
        <v>156</v>
      </c>
      <c r="H126" s="93">
        <v>80111600</v>
      </c>
      <c r="I126" s="247">
        <v>3</v>
      </c>
      <c r="J126" s="247">
        <v>10</v>
      </c>
      <c r="K126" s="52">
        <v>0</v>
      </c>
      <c r="L126" s="53">
        <f>31638000-9588000</f>
        <v>22050000</v>
      </c>
      <c r="M126" s="246" t="s">
        <v>464</v>
      </c>
      <c r="N126" s="53" t="s">
        <v>113</v>
      </c>
      <c r="O126" s="51" t="s">
        <v>229</v>
      </c>
      <c r="P126" s="248" t="str">
        <f>IFERROR(VLOOKUP(C126,TD!$B$33:$F$37,2,0)," ")</f>
        <v>O230117</v>
      </c>
      <c r="Q126" s="248" t="str">
        <f>IFERROR(VLOOKUP(C126,TD!$B$33:$F$37,3,0)," ")</f>
        <v>4503</v>
      </c>
      <c r="R126" s="248">
        <f>IFERROR(VLOOKUP(C126,TD!$B$33:$F$37,4,0)," ")</f>
        <v>20240255</v>
      </c>
      <c r="S126" s="51" t="s">
        <v>183</v>
      </c>
      <c r="T126" s="248" t="str">
        <f>IFERROR(VLOOKUP(S126,TD!$J$34:$K$44,2,0)," ")</f>
        <v>Servicio de formación en gestión del riesgo de incendios para el personal UAECOB</v>
      </c>
      <c r="U126" s="249" t="str">
        <f>CONCATENATE(S126,"-",T126)</f>
        <v>07-Servicio de formación en gestión del riesgo de incendios para el personal UAECOB</v>
      </c>
      <c r="V126" s="51" t="s">
        <v>233</v>
      </c>
      <c r="W126" s="248" t="str">
        <f>IFERROR(VLOOKUP(V126,TD!$N$34:$O$46,2,0)," ")</f>
        <v>Servicio de educación informal</v>
      </c>
      <c r="X126" s="249" t="str">
        <f>CONCATENATE(V126,"_",W126)</f>
        <v>002_Servicio de educación informal</v>
      </c>
      <c r="Y126" s="249" t="str">
        <f>CONCATENATE(U126," ",X126)</f>
        <v>07-Servicio de formación en gestión del riesgo de incendios para el personal UAECOB 002_Servicio de educación informal</v>
      </c>
      <c r="Z126" s="248" t="str">
        <f>CONCATENATE(P126,Q126,R126,S126,V126)</f>
        <v>O23011745032024025507002</v>
      </c>
      <c r="AA126" s="248" t="str">
        <f>IFERROR(VLOOKUP(Y126,TD!$K$47:$L$65,2,0)," ")</f>
        <v>PM/0131/0107/45030020255</v>
      </c>
      <c r="AB126" s="53" t="s">
        <v>138</v>
      </c>
      <c r="AC126" s="250" t="s">
        <v>204</v>
      </c>
    </row>
    <row r="127" spans="2:29" s="28" customFormat="1" ht="70" x14ac:dyDescent="0.35">
      <c r="B127" s="77">
        <v>20250113</v>
      </c>
      <c r="C127" s="50" t="s">
        <v>209</v>
      </c>
      <c r="D127" s="246" t="s">
        <v>165</v>
      </c>
      <c r="E127" s="51" t="s">
        <v>484</v>
      </c>
      <c r="F127" s="246" t="s">
        <v>402</v>
      </c>
      <c r="G127" s="246" t="s">
        <v>155</v>
      </c>
      <c r="H127" s="93">
        <v>80111600</v>
      </c>
      <c r="I127" s="247">
        <v>2</v>
      </c>
      <c r="J127" s="247">
        <v>11</v>
      </c>
      <c r="K127" s="52">
        <v>0</v>
      </c>
      <c r="L127" s="53">
        <f>62550435-11596035-34400</f>
        <v>50920000</v>
      </c>
      <c r="M127" s="246" t="s">
        <v>464</v>
      </c>
      <c r="N127" s="53" t="s">
        <v>113</v>
      </c>
      <c r="O127" s="51" t="s">
        <v>229</v>
      </c>
      <c r="P127" s="248" t="str">
        <f>IFERROR(VLOOKUP(C127,TD!$B$33:$F$37,2,0)," ")</f>
        <v>O230117</v>
      </c>
      <c r="Q127" s="248" t="str">
        <f>IFERROR(VLOOKUP(C127,TD!$B$33:$F$37,3,0)," ")</f>
        <v>4503</v>
      </c>
      <c r="R127" s="248">
        <f>IFERROR(VLOOKUP(C127,TD!$B$33:$F$37,4,0)," ")</f>
        <v>20240255</v>
      </c>
      <c r="S127" s="51" t="s">
        <v>183</v>
      </c>
      <c r="T127" s="248" t="str">
        <f>IFERROR(VLOOKUP(S127,TD!$J$34:$K$44,2,0)," ")</f>
        <v>Servicio de formación en gestión del riesgo de incendios para el personal UAECOB</v>
      </c>
      <c r="U127" s="249" t="str">
        <f>CONCATENATE(S127,"-",T127)</f>
        <v>07-Servicio de formación en gestión del riesgo de incendios para el personal UAECOB</v>
      </c>
      <c r="V127" s="51" t="s">
        <v>233</v>
      </c>
      <c r="W127" s="248" t="str">
        <f>IFERROR(VLOOKUP(V127,TD!$N$34:$O$46,2,0)," ")</f>
        <v>Servicio de educación informal</v>
      </c>
      <c r="X127" s="249" t="str">
        <f>CONCATENATE(V127,"_",W127)</f>
        <v>002_Servicio de educación informal</v>
      </c>
      <c r="Y127" s="249" t="str">
        <f>CONCATENATE(U127," ",X127)</f>
        <v>07-Servicio de formación en gestión del riesgo de incendios para el personal UAECOB 002_Servicio de educación informal</v>
      </c>
      <c r="Z127" s="248" t="str">
        <f>CONCATENATE(P127,Q127,R127,S127,V127)</f>
        <v>O23011745032024025507002</v>
      </c>
      <c r="AA127" s="248" t="str">
        <f>IFERROR(VLOOKUP(Y127,TD!$K$47:$L$65,2,0)," ")</f>
        <v>PM/0131/0107/45030020255</v>
      </c>
      <c r="AB127" s="53" t="s">
        <v>138</v>
      </c>
      <c r="AC127" s="250" t="s">
        <v>204</v>
      </c>
    </row>
    <row r="128" spans="2:29" s="28" customFormat="1" ht="56" x14ac:dyDescent="0.35">
      <c r="B128" s="77">
        <v>20250115</v>
      </c>
      <c r="C128" s="50" t="s">
        <v>209</v>
      </c>
      <c r="D128" s="246" t="s">
        <v>165</v>
      </c>
      <c r="E128" s="51" t="s">
        <v>484</v>
      </c>
      <c r="F128" s="246" t="s">
        <v>398</v>
      </c>
      <c r="G128" s="246" t="s">
        <v>155</v>
      </c>
      <c r="H128" s="93">
        <v>80111600</v>
      </c>
      <c r="I128" s="247">
        <v>2</v>
      </c>
      <c r="J128" s="247">
        <v>11</v>
      </c>
      <c r="K128" s="52">
        <v>0</v>
      </c>
      <c r="L128" s="53">
        <f>46599610-8282375-67235</f>
        <v>38250000</v>
      </c>
      <c r="M128" s="246" t="s">
        <v>464</v>
      </c>
      <c r="N128" s="53" t="s">
        <v>113</v>
      </c>
      <c r="O128" s="51" t="s">
        <v>229</v>
      </c>
      <c r="P128" s="248" t="str">
        <f>IFERROR(VLOOKUP(C128,TD!$B$33:$F$37,2,0)," ")</f>
        <v>O230117</v>
      </c>
      <c r="Q128" s="248" t="str">
        <f>IFERROR(VLOOKUP(C128,TD!$B$33:$F$37,3,0)," ")</f>
        <v>4503</v>
      </c>
      <c r="R128" s="248">
        <f>IFERROR(VLOOKUP(C128,TD!$B$33:$F$37,4,0)," ")</f>
        <v>20240255</v>
      </c>
      <c r="S128" s="51" t="s">
        <v>183</v>
      </c>
      <c r="T128" s="248" t="str">
        <f>IFERROR(VLOOKUP(S128,TD!$J$34:$K$44,2,0)," ")</f>
        <v>Servicio de formación en gestión del riesgo de incendios para el personal UAECOB</v>
      </c>
      <c r="U128" s="249" t="str">
        <f>CONCATENATE(S128,"-",T128)</f>
        <v>07-Servicio de formación en gestión del riesgo de incendios para el personal UAECOB</v>
      </c>
      <c r="V128" s="51" t="s">
        <v>233</v>
      </c>
      <c r="W128" s="248" t="str">
        <f>IFERROR(VLOOKUP(V128,TD!$N$34:$O$46,2,0)," ")</f>
        <v>Servicio de educación informal</v>
      </c>
      <c r="X128" s="249" t="str">
        <f>CONCATENATE(V128,"_",W128)</f>
        <v>002_Servicio de educación informal</v>
      </c>
      <c r="Y128" s="249" t="str">
        <f>CONCATENATE(U128," ",X128)</f>
        <v>07-Servicio de formación en gestión del riesgo de incendios para el personal UAECOB 002_Servicio de educación informal</v>
      </c>
      <c r="Z128" s="248" t="str">
        <f>CONCATENATE(P128,Q128,R128,S128,V128)</f>
        <v>O23011745032024025507002</v>
      </c>
      <c r="AA128" s="248" t="str">
        <f>IFERROR(VLOOKUP(Y128,TD!$K$47:$L$65,2,0)," ")</f>
        <v>PM/0131/0107/45030020255</v>
      </c>
      <c r="AB128" s="53" t="s">
        <v>138</v>
      </c>
      <c r="AC128" s="250" t="s">
        <v>204</v>
      </c>
    </row>
    <row r="129" spans="2:29" s="28" customFormat="1" ht="84" x14ac:dyDescent="0.35">
      <c r="B129" s="77">
        <v>20250116</v>
      </c>
      <c r="C129" s="50" t="s">
        <v>209</v>
      </c>
      <c r="D129" s="246" t="s">
        <v>165</v>
      </c>
      <c r="E129" s="51" t="s">
        <v>484</v>
      </c>
      <c r="F129" s="246" t="s">
        <v>403</v>
      </c>
      <c r="G129" s="246" t="s">
        <v>155</v>
      </c>
      <c r="H129" s="93">
        <v>80111600</v>
      </c>
      <c r="I129" s="247">
        <v>2</v>
      </c>
      <c r="J129" s="247">
        <v>11</v>
      </c>
      <c r="K129" s="52">
        <v>0</v>
      </c>
      <c r="L129" s="53">
        <f>75403900-12836139-4555261-3612500</f>
        <v>54400000</v>
      </c>
      <c r="M129" s="246" t="s">
        <v>464</v>
      </c>
      <c r="N129" s="53" t="s">
        <v>113</v>
      </c>
      <c r="O129" s="51" t="s">
        <v>229</v>
      </c>
      <c r="P129" s="248" t="str">
        <f>IFERROR(VLOOKUP(C129,TD!$B$33:$F$37,2,0)," ")</f>
        <v>O230117</v>
      </c>
      <c r="Q129" s="248" t="str">
        <f>IFERROR(VLOOKUP(C129,TD!$B$33:$F$37,3,0)," ")</f>
        <v>4503</v>
      </c>
      <c r="R129" s="248">
        <f>IFERROR(VLOOKUP(C129,TD!$B$33:$F$37,4,0)," ")</f>
        <v>20240255</v>
      </c>
      <c r="S129" s="51" t="s">
        <v>183</v>
      </c>
      <c r="T129" s="248" t="str">
        <f>IFERROR(VLOOKUP(S129,TD!$J$34:$K$44,2,0)," ")</f>
        <v>Servicio de formación en gestión del riesgo de incendios para el personal UAECOB</v>
      </c>
      <c r="U129" s="249" t="str">
        <f>CONCATENATE(S129,"-",T129)</f>
        <v>07-Servicio de formación en gestión del riesgo de incendios para el personal UAECOB</v>
      </c>
      <c r="V129" s="51" t="s">
        <v>233</v>
      </c>
      <c r="W129" s="248" t="str">
        <f>IFERROR(VLOOKUP(V129,TD!$N$34:$O$46,2,0)," ")</f>
        <v>Servicio de educación informal</v>
      </c>
      <c r="X129" s="249" t="str">
        <f>CONCATENATE(V129,"_",W129)</f>
        <v>002_Servicio de educación informal</v>
      </c>
      <c r="Y129" s="249" t="str">
        <f>CONCATENATE(U129," ",X129)</f>
        <v>07-Servicio de formación en gestión del riesgo de incendios para el personal UAECOB 002_Servicio de educación informal</v>
      </c>
      <c r="Z129" s="248" t="str">
        <f>CONCATENATE(P129,Q129,R129,S129,V129)</f>
        <v>O23011745032024025507002</v>
      </c>
      <c r="AA129" s="248" t="str">
        <f>IFERROR(VLOOKUP(Y129,TD!$K$47:$L$65,2,0)," ")</f>
        <v>PM/0131/0107/45030020255</v>
      </c>
      <c r="AB129" s="53" t="s">
        <v>138</v>
      </c>
      <c r="AC129" s="250" t="s">
        <v>204</v>
      </c>
    </row>
    <row r="130" spans="2:29" s="28" customFormat="1" ht="70" x14ac:dyDescent="0.35">
      <c r="B130" s="77">
        <v>20250117</v>
      </c>
      <c r="C130" s="50" t="s">
        <v>209</v>
      </c>
      <c r="D130" s="246" t="s">
        <v>165</v>
      </c>
      <c r="E130" s="51" t="s">
        <v>484</v>
      </c>
      <c r="F130" s="246" t="s">
        <v>404</v>
      </c>
      <c r="G130" s="246" t="s">
        <v>156</v>
      </c>
      <c r="H130" s="93">
        <v>80111600</v>
      </c>
      <c r="I130" s="247">
        <v>2</v>
      </c>
      <c r="J130" s="247">
        <v>11</v>
      </c>
      <c r="K130" s="52">
        <v>0</v>
      </c>
      <c r="L130" s="53">
        <f>30045554-3045554</f>
        <v>27000000</v>
      </c>
      <c r="M130" s="246" t="s">
        <v>464</v>
      </c>
      <c r="N130" s="53" t="s">
        <v>113</v>
      </c>
      <c r="O130" s="51" t="s">
        <v>229</v>
      </c>
      <c r="P130" s="248" t="str">
        <f>IFERROR(VLOOKUP(C130,TD!$B$33:$F$37,2,0)," ")</f>
        <v>O230117</v>
      </c>
      <c r="Q130" s="248" t="str">
        <f>IFERROR(VLOOKUP(C130,TD!$B$33:$F$37,3,0)," ")</f>
        <v>4503</v>
      </c>
      <c r="R130" s="248">
        <f>IFERROR(VLOOKUP(C130,TD!$B$33:$F$37,4,0)," ")</f>
        <v>20240255</v>
      </c>
      <c r="S130" s="51" t="s">
        <v>183</v>
      </c>
      <c r="T130" s="248" t="str">
        <f>IFERROR(VLOOKUP(S130,TD!$J$34:$K$44,2,0)," ")</f>
        <v>Servicio de formación en gestión del riesgo de incendios para el personal UAECOB</v>
      </c>
      <c r="U130" s="249" t="str">
        <f>CONCATENATE(S130,"-",T130)</f>
        <v>07-Servicio de formación en gestión del riesgo de incendios para el personal UAECOB</v>
      </c>
      <c r="V130" s="51" t="s">
        <v>233</v>
      </c>
      <c r="W130" s="248" t="str">
        <f>IFERROR(VLOOKUP(V130,TD!$N$34:$O$46,2,0)," ")</f>
        <v>Servicio de educación informal</v>
      </c>
      <c r="X130" s="249" t="str">
        <f>CONCATENATE(V130,"_",W130)</f>
        <v>002_Servicio de educación informal</v>
      </c>
      <c r="Y130" s="249" t="str">
        <f>CONCATENATE(U130," ",X130)</f>
        <v>07-Servicio de formación en gestión del riesgo de incendios para el personal UAECOB 002_Servicio de educación informal</v>
      </c>
      <c r="Z130" s="248" t="str">
        <f>CONCATENATE(P130,Q130,R130,S130,V130)</f>
        <v>O23011745032024025507002</v>
      </c>
      <c r="AA130" s="248" t="str">
        <f>IFERROR(VLOOKUP(Y130,TD!$K$47:$L$65,2,0)," ")</f>
        <v>PM/0131/0107/45030020255</v>
      </c>
      <c r="AB130" s="53" t="s">
        <v>138</v>
      </c>
      <c r="AC130" s="250" t="s">
        <v>204</v>
      </c>
    </row>
    <row r="131" spans="2:29" s="28" customFormat="1" ht="70" x14ac:dyDescent="0.35">
      <c r="B131" s="77">
        <v>20250118</v>
      </c>
      <c r="C131" s="50" t="s">
        <v>209</v>
      </c>
      <c r="D131" s="246" t="s">
        <v>165</v>
      </c>
      <c r="E131" s="51" t="s">
        <v>484</v>
      </c>
      <c r="F131" s="246" t="s">
        <v>405</v>
      </c>
      <c r="G131" s="246" t="s">
        <v>155</v>
      </c>
      <c r="H131" s="93">
        <v>80111600</v>
      </c>
      <c r="I131" s="247">
        <v>2</v>
      </c>
      <c r="J131" s="247">
        <v>11</v>
      </c>
      <c r="K131" s="52">
        <v>0</v>
      </c>
      <c r="L131" s="53">
        <f>46599610-6028510-71100</f>
        <v>40500000</v>
      </c>
      <c r="M131" s="246" t="s">
        <v>464</v>
      </c>
      <c r="N131" s="53" t="s">
        <v>113</v>
      </c>
      <c r="O131" s="51" t="s">
        <v>229</v>
      </c>
      <c r="P131" s="248" t="str">
        <f>IFERROR(VLOOKUP(C131,TD!$B$33:$F$37,2,0)," ")</f>
        <v>O230117</v>
      </c>
      <c r="Q131" s="248" t="str">
        <f>IFERROR(VLOOKUP(C131,TD!$B$33:$F$37,3,0)," ")</f>
        <v>4503</v>
      </c>
      <c r="R131" s="248">
        <f>IFERROR(VLOOKUP(C131,TD!$B$33:$F$37,4,0)," ")</f>
        <v>20240255</v>
      </c>
      <c r="S131" s="51" t="s">
        <v>183</v>
      </c>
      <c r="T131" s="248" t="str">
        <f>IFERROR(VLOOKUP(S131,TD!$J$34:$K$44,2,0)," ")</f>
        <v>Servicio de formación en gestión del riesgo de incendios para el personal UAECOB</v>
      </c>
      <c r="U131" s="249" t="str">
        <f>CONCATENATE(S131,"-",T131)</f>
        <v>07-Servicio de formación en gestión del riesgo de incendios para el personal UAECOB</v>
      </c>
      <c r="V131" s="51" t="s">
        <v>233</v>
      </c>
      <c r="W131" s="248" t="str">
        <f>IFERROR(VLOOKUP(V131,TD!$N$34:$O$46,2,0)," ")</f>
        <v>Servicio de educación informal</v>
      </c>
      <c r="X131" s="249" t="str">
        <f>CONCATENATE(V131,"_",W131)</f>
        <v>002_Servicio de educación informal</v>
      </c>
      <c r="Y131" s="249" t="str">
        <f>CONCATENATE(U131," ",X131)</f>
        <v>07-Servicio de formación en gestión del riesgo de incendios para el personal UAECOB 002_Servicio de educación informal</v>
      </c>
      <c r="Z131" s="248" t="str">
        <f>CONCATENATE(P131,Q131,R131,S131,V131)</f>
        <v>O23011745032024025507002</v>
      </c>
      <c r="AA131" s="248" t="str">
        <f>IFERROR(VLOOKUP(Y131,TD!$K$47:$L$65,2,0)," ")</f>
        <v>PM/0131/0107/45030020255</v>
      </c>
      <c r="AB131" s="53" t="s">
        <v>138</v>
      </c>
      <c r="AC131" s="250" t="s">
        <v>204</v>
      </c>
    </row>
    <row r="132" spans="2:29" s="28" customFormat="1" ht="56" x14ac:dyDescent="0.35">
      <c r="B132" s="77">
        <v>20250119</v>
      </c>
      <c r="C132" s="50" t="s">
        <v>209</v>
      </c>
      <c r="D132" s="246" t="s">
        <v>165</v>
      </c>
      <c r="E132" s="51" t="s">
        <v>484</v>
      </c>
      <c r="F132" s="246" t="s">
        <v>429</v>
      </c>
      <c r="G132" s="246" t="s">
        <v>155</v>
      </c>
      <c r="H132" s="93">
        <v>80111600</v>
      </c>
      <c r="I132" s="247">
        <v>2</v>
      </c>
      <c r="J132" s="247">
        <v>11</v>
      </c>
      <c r="K132" s="52">
        <v>0</v>
      </c>
      <c r="L132" s="53">
        <f>59047054-10946554-40500</f>
        <v>48060000</v>
      </c>
      <c r="M132" s="246" t="s">
        <v>464</v>
      </c>
      <c r="N132" s="53" t="s">
        <v>113</v>
      </c>
      <c r="O132" s="51" t="s">
        <v>229</v>
      </c>
      <c r="P132" s="248" t="str">
        <f>IFERROR(VLOOKUP(C132,TD!$B$33:$F$37,2,0)," ")</f>
        <v>O230117</v>
      </c>
      <c r="Q132" s="248" t="str">
        <f>IFERROR(VLOOKUP(C132,TD!$B$33:$F$37,3,0)," ")</f>
        <v>4503</v>
      </c>
      <c r="R132" s="248">
        <f>IFERROR(VLOOKUP(C132,TD!$B$33:$F$37,4,0)," ")</f>
        <v>20240255</v>
      </c>
      <c r="S132" s="51" t="s">
        <v>183</v>
      </c>
      <c r="T132" s="248" t="str">
        <f>IFERROR(VLOOKUP(S132,TD!$J$34:$K$44,2,0)," ")</f>
        <v>Servicio de formación en gestión del riesgo de incendios para el personal UAECOB</v>
      </c>
      <c r="U132" s="249" t="str">
        <f>CONCATENATE(S132,"-",T132)</f>
        <v>07-Servicio de formación en gestión del riesgo de incendios para el personal UAECOB</v>
      </c>
      <c r="V132" s="51" t="s">
        <v>233</v>
      </c>
      <c r="W132" s="248" t="str">
        <f>IFERROR(VLOOKUP(V132,TD!$N$34:$O$46,2,0)," ")</f>
        <v>Servicio de educación informal</v>
      </c>
      <c r="X132" s="249" t="str">
        <f>CONCATENATE(V132,"_",W132)</f>
        <v>002_Servicio de educación informal</v>
      </c>
      <c r="Y132" s="249" t="str">
        <f>CONCATENATE(U132," ",X132)</f>
        <v>07-Servicio de formación en gestión del riesgo de incendios para el personal UAECOB 002_Servicio de educación informal</v>
      </c>
      <c r="Z132" s="248" t="str">
        <f>CONCATENATE(P132,Q132,R132,S132,V132)</f>
        <v>O23011745032024025507002</v>
      </c>
      <c r="AA132" s="248" t="str">
        <f>IFERROR(VLOOKUP(Y132,TD!$K$47:$L$65,2,0)," ")</f>
        <v>PM/0131/0107/45030020255</v>
      </c>
      <c r="AB132" s="53" t="s">
        <v>138</v>
      </c>
      <c r="AC132" s="250" t="s">
        <v>204</v>
      </c>
    </row>
    <row r="133" spans="2:29" s="28" customFormat="1" ht="56" x14ac:dyDescent="0.35">
      <c r="B133" s="77">
        <v>20250121</v>
      </c>
      <c r="C133" s="50" t="s">
        <v>209</v>
      </c>
      <c r="D133" s="246" t="s">
        <v>165</v>
      </c>
      <c r="E133" s="51" t="s">
        <v>484</v>
      </c>
      <c r="F133" s="246" t="s">
        <v>427</v>
      </c>
      <c r="G133" s="246" t="s">
        <v>155</v>
      </c>
      <c r="H133" s="93">
        <v>80111600</v>
      </c>
      <c r="I133" s="247">
        <v>2</v>
      </c>
      <c r="J133" s="247">
        <v>11</v>
      </c>
      <c r="K133" s="52">
        <v>0</v>
      </c>
      <c r="L133" s="53">
        <f>81204200-8421871-6632329-1410000</f>
        <v>64740000</v>
      </c>
      <c r="M133" s="246" t="s">
        <v>464</v>
      </c>
      <c r="N133" s="53" t="s">
        <v>113</v>
      </c>
      <c r="O133" s="51" t="s">
        <v>229</v>
      </c>
      <c r="P133" s="248" t="str">
        <f>IFERROR(VLOOKUP(C133,TD!$B$33:$F$37,2,0)," ")</f>
        <v>O230117</v>
      </c>
      <c r="Q133" s="248" t="str">
        <f>IFERROR(VLOOKUP(C133,TD!$B$33:$F$37,3,0)," ")</f>
        <v>4503</v>
      </c>
      <c r="R133" s="248">
        <f>IFERROR(VLOOKUP(C133,TD!$B$33:$F$37,4,0)," ")</f>
        <v>20240255</v>
      </c>
      <c r="S133" s="51" t="s">
        <v>183</v>
      </c>
      <c r="T133" s="248" t="str">
        <f>IFERROR(VLOOKUP(S133,TD!$J$34:$K$44,2,0)," ")</f>
        <v>Servicio de formación en gestión del riesgo de incendios para el personal UAECOB</v>
      </c>
      <c r="U133" s="249" t="str">
        <f>CONCATENATE(S133,"-",T133)</f>
        <v>07-Servicio de formación en gestión del riesgo de incendios para el personal UAECOB</v>
      </c>
      <c r="V133" s="51" t="s">
        <v>233</v>
      </c>
      <c r="W133" s="248" t="str">
        <f>IFERROR(VLOOKUP(V133,TD!$N$34:$O$46,2,0)," ")</f>
        <v>Servicio de educación informal</v>
      </c>
      <c r="X133" s="249" t="str">
        <f>CONCATENATE(V133,"_",W133)</f>
        <v>002_Servicio de educación informal</v>
      </c>
      <c r="Y133" s="249" t="str">
        <f>CONCATENATE(U133," ",X133)</f>
        <v>07-Servicio de formación en gestión del riesgo de incendios para el personal UAECOB 002_Servicio de educación informal</v>
      </c>
      <c r="Z133" s="248" t="str">
        <f>CONCATENATE(P133,Q133,R133,S133,V133)</f>
        <v>O23011745032024025507002</v>
      </c>
      <c r="AA133" s="248" t="str">
        <f>IFERROR(VLOOKUP(Y133,TD!$K$47:$L$65,2,0)," ")</f>
        <v>PM/0131/0107/45030020255</v>
      </c>
      <c r="AB133" s="53" t="s">
        <v>138</v>
      </c>
      <c r="AC133" s="250" t="s">
        <v>204</v>
      </c>
    </row>
    <row r="134" spans="2:29" s="28" customFormat="1" ht="56" x14ac:dyDescent="0.35">
      <c r="B134" s="77">
        <v>20250122</v>
      </c>
      <c r="C134" s="50" t="s">
        <v>209</v>
      </c>
      <c r="D134" s="246" t="s">
        <v>165</v>
      </c>
      <c r="E134" s="51" t="s">
        <v>484</v>
      </c>
      <c r="F134" s="246" t="s">
        <v>881</v>
      </c>
      <c r="G134" s="246" t="s">
        <v>155</v>
      </c>
      <c r="H134" s="93">
        <v>80111600</v>
      </c>
      <c r="I134" s="247">
        <v>4</v>
      </c>
      <c r="J134" s="247">
        <v>8</v>
      </c>
      <c r="K134" s="52">
        <v>0</v>
      </c>
      <c r="L134" s="53">
        <f>63563000-363000</f>
        <v>63200000</v>
      </c>
      <c r="M134" s="246" t="s">
        <v>464</v>
      </c>
      <c r="N134" s="53" t="s">
        <v>113</v>
      </c>
      <c r="O134" s="51" t="s">
        <v>229</v>
      </c>
      <c r="P134" s="248" t="str">
        <f>IFERROR(VLOOKUP(C134,TD!$B$33:$F$37,2,0)," ")</f>
        <v>O230117</v>
      </c>
      <c r="Q134" s="248" t="str">
        <f>IFERROR(VLOOKUP(C134,TD!$B$33:$F$37,3,0)," ")</f>
        <v>4503</v>
      </c>
      <c r="R134" s="248">
        <f>IFERROR(VLOOKUP(C134,TD!$B$33:$F$37,4,0)," ")</f>
        <v>20240255</v>
      </c>
      <c r="S134" s="51" t="s">
        <v>183</v>
      </c>
      <c r="T134" s="248" t="str">
        <f>IFERROR(VLOOKUP(S134,TD!$J$34:$K$44,2,0)," ")</f>
        <v>Servicio de formación en gestión del riesgo de incendios para el personal UAECOB</v>
      </c>
      <c r="U134" s="249" t="str">
        <f>CONCATENATE(S134,"-",T134)</f>
        <v>07-Servicio de formación en gestión del riesgo de incendios para el personal UAECOB</v>
      </c>
      <c r="V134" s="51" t="s">
        <v>233</v>
      </c>
      <c r="W134" s="248" t="str">
        <f>IFERROR(VLOOKUP(V134,TD!$N$34:$O$46,2,0)," ")</f>
        <v>Servicio de educación informal</v>
      </c>
      <c r="X134" s="249" t="str">
        <f>CONCATENATE(V134,"_",W134)</f>
        <v>002_Servicio de educación informal</v>
      </c>
      <c r="Y134" s="249" t="str">
        <f>CONCATENATE(U134," ",X134)</f>
        <v>07-Servicio de formación en gestión del riesgo de incendios para el personal UAECOB 002_Servicio de educación informal</v>
      </c>
      <c r="Z134" s="248" t="str">
        <f>CONCATENATE(P134,Q134,R134,S134,V134)</f>
        <v>O23011745032024025507002</v>
      </c>
      <c r="AA134" s="248" t="str">
        <f>IFERROR(VLOOKUP(Y134,TD!$K$47:$L$65,2,0)," ")</f>
        <v>PM/0131/0107/45030020255</v>
      </c>
      <c r="AB134" s="53" t="s">
        <v>138</v>
      </c>
      <c r="AC134" s="250" t="s">
        <v>204</v>
      </c>
    </row>
    <row r="135" spans="2:29" s="28" customFormat="1" ht="56" x14ac:dyDescent="0.35">
      <c r="B135" s="77">
        <v>20250123</v>
      </c>
      <c r="C135" s="50" t="s">
        <v>209</v>
      </c>
      <c r="D135" s="246" t="s">
        <v>165</v>
      </c>
      <c r="E135" s="51" t="s">
        <v>484</v>
      </c>
      <c r="F135" s="246" t="s">
        <v>428</v>
      </c>
      <c r="G135" s="246" t="s">
        <v>156</v>
      </c>
      <c r="H135" s="93">
        <v>80111600</v>
      </c>
      <c r="I135" s="247">
        <v>3</v>
      </c>
      <c r="J135" s="247">
        <v>10</v>
      </c>
      <c r="K135" s="52">
        <v>0</v>
      </c>
      <c r="L135" s="53">
        <f>84368000-10416590-1951410</f>
        <v>72000000</v>
      </c>
      <c r="M135" s="246" t="s">
        <v>464</v>
      </c>
      <c r="N135" s="53" t="s">
        <v>113</v>
      </c>
      <c r="O135" s="51" t="s">
        <v>229</v>
      </c>
      <c r="P135" s="248" t="str">
        <f>IFERROR(VLOOKUP(C135,TD!$B$33:$F$37,2,0)," ")</f>
        <v>O230117</v>
      </c>
      <c r="Q135" s="248" t="str">
        <f>IFERROR(VLOOKUP(C135,TD!$B$33:$F$37,3,0)," ")</f>
        <v>4503</v>
      </c>
      <c r="R135" s="248">
        <f>IFERROR(VLOOKUP(C135,TD!$B$33:$F$37,4,0)," ")</f>
        <v>20240255</v>
      </c>
      <c r="S135" s="51" t="s">
        <v>183</v>
      </c>
      <c r="T135" s="248" t="str">
        <f>IFERROR(VLOOKUP(S135,TD!$J$34:$K$44,2,0)," ")</f>
        <v>Servicio de formación en gestión del riesgo de incendios para el personal UAECOB</v>
      </c>
      <c r="U135" s="249" t="str">
        <f>CONCATENATE(S135,"-",T135)</f>
        <v>07-Servicio de formación en gestión del riesgo de incendios para el personal UAECOB</v>
      </c>
      <c r="V135" s="51" t="s">
        <v>233</v>
      </c>
      <c r="W135" s="248" t="str">
        <f>IFERROR(VLOOKUP(V135,TD!$N$34:$O$46,2,0)," ")</f>
        <v>Servicio de educación informal</v>
      </c>
      <c r="X135" s="249" t="str">
        <f>CONCATENATE(V135,"_",W135)</f>
        <v>002_Servicio de educación informal</v>
      </c>
      <c r="Y135" s="249" t="str">
        <f>CONCATENATE(U135," ",X135)</f>
        <v>07-Servicio de formación en gestión del riesgo de incendios para el personal UAECOB 002_Servicio de educación informal</v>
      </c>
      <c r="Z135" s="248" t="str">
        <f>CONCATENATE(P135,Q135,R135,S135,V135)</f>
        <v>O23011745032024025507002</v>
      </c>
      <c r="AA135" s="248" t="str">
        <f>IFERROR(VLOOKUP(Y135,TD!$K$47:$L$65,2,0)," ")</f>
        <v>PM/0131/0107/45030020255</v>
      </c>
      <c r="AB135" s="53" t="s">
        <v>138</v>
      </c>
      <c r="AC135" s="250" t="s">
        <v>204</v>
      </c>
    </row>
    <row r="136" spans="2:29" s="28" customFormat="1" ht="56" x14ac:dyDescent="0.35">
      <c r="B136" s="77">
        <v>20250124</v>
      </c>
      <c r="C136" s="50" t="s">
        <v>209</v>
      </c>
      <c r="D136" s="246" t="s">
        <v>165</v>
      </c>
      <c r="E136" s="51" t="s">
        <v>484</v>
      </c>
      <c r="F136" s="246" t="s">
        <v>964</v>
      </c>
      <c r="G136" s="246" t="s">
        <v>155</v>
      </c>
      <c r="H136" s="93">
        <v>80111600</v>
      </c>
      <c r="I136" s="247">
        <v>3</v>
      </c>
      <c r="J136" s="247">
        <v>10</v>
      </c>
      <c r="K136" s="52">
        <v>0</v>
      </c>
      <c r="L136" s="53">
        <f>68549000-29063490-12185510+13650000-13650000</f>
        <v>27300000</v>
      </c>
      <c r="M136" s="246" t="s">
        <v>464</v>
      </c>
      <c r="N136" s="53" t="s">
        <v>113</v>
      </c>
      <c r="O136" s="51" t="s">
        <v>229</v>
      </c>
      <c r="P136" s="248" t="str">
        <f>IFERROR(VLOOKUP(C136,TD!$B$33:$F$37,2,0)," ")</f>
        <v>O230117</v>
      </c>
      <c r="Q136" s="248" t="str">
        <f>IFERROR(VLOOKUP(C136,TD!$B$33:$F$37,3,0)," ")</f>
        <v>4503</v>
      </c>
      <c r="R136" s="248">
        <f>IFERROR(VLOOKUP(C136,TD!$B$33:$F$37,4,0)," ")</f>
        <v>20240255</v>
      </c>
      <c r="S136" s="51" t="s">
        <v>183</v>
      </c>
      <c r="T136" s="248" t="str">
        <f>IFERROR(VLOOKUP(S136,TD!$J$34:$K$44,2,0)," ")</f>
        <v>Servicio de formación en gestión del riesgo de incendios para el personal UAECOB</v>
      </c>
      <c r="U136" s="249" t="str">
        <f>CONCATENATE(S136,"-",T136)</f>
        <v>07-Servicio de formación en gestión del riesgo de incendios para el personal UAECOB</v>
      </c>
      <c r="V136" s="51" t="s">
        <v>233</v>
      </c>
      <c r="W136" s="248" t="str">
        <f>IFERROR(VLOOKUP(V136,TD!$N$34:$O$46,2,0)," ")</f>
        <v>Servicio de educación informal</v>
      </c>
      <c r="X136" s="249" t="str">
        <f>CONCATENATE(V136,"_",W136)</f>
        <v>002_Servicio de educación informal</v>
      </c>
      <c r="Y136" s="249" t="str">
        <f>CONCATENATE(U136," ",X136)</f>
        <v>07-Servicio de formación en gestión del riesgo de incendios para el personal UAECOB 002_Servicio de educación informal</v>
      </c>
      <c r="Z136" s="248" t="str">
        <f>CONCATENATE(P136,Q136,R136,S136,V136)</f>
        <v>O23011745032024025507002</v>
      </c>
      <c r="AA136" s="248" t="str">
        <f>IFERROR(VLOOKUP(Y136,TD!$K$47:$L$65,2,0)," ")</f>
        <v>PM/0131/0107/45030020255</v>
      </c>
      <c r="AB136" s="125" t="s">
        <v>120</v>
      </c>
      <c r="AC136" s="250" t="s">
        <v>204</v>
      </c>
    </row>
    <row r="137" spans="2:29" s="28" customFormat="1" ht="70" x14ac:dyDescent="0.35">
      <c r="B137" s="77">
        <v>20250125</v>
      </c>
      <c r="C137" s="50" t="s">
        <v>209</v>
      </c>
      <c r="D137" s="246" t="s">
        <v>165</v>
      </c>
      <c r="E137" s="51" t="s">
        <v>484</v>
      </c>
      <c r="F137" s="246" t="s">
        <v>709</v>
      </c>
      <c r="G137" s="246" t="s">
        <v>155</v>
      </c>
      <c r="H137" s="93">
        <v>80111600</v>
      </c>
      <c r="I137" s="247">
        <v>2</v>
      </c>
      <c r="J137" s="247">
        <v>11</v>
      </c>
      <c r="K137" s="52">
        <v>0</v>
      </c>
      <c r="L137" s="53">
        <f>59163060+3836940</f>
        <v>63000000</v>
      </c>
      <c r="M137" s="246" t="s">
        <v>464</v>
      </c>
      <c r="N137" s="53" t="s">
        <v>113</v>
      </c>
      <c r="O137" s="51" t="s">
        <v>229</v>
      </c>
      <c r="P137" s="248" t="str">
        <f>IFERROR(VLOOKUP(C137,TD!$B$33:$F$37,2,0)," ")</f>
        <v>O230117</v>
      </c>
      <c r="Q137" s="248" t="str">
        <f>IFERROR(VLOOKUP(C137,TD!$B$33:$F$37,3,0)," ")</f>
        <v>4503</v>
      </c>
      <c r="R137" s="248">
        <f>IFERROR(VLOOKUP(C137,TD!$B$33:$F$37,4,0)," ")</f>
        <v>20240255</v>
      </c>
      <c r="S137" s="51" t="s">
        <v>183</v>
      </c>
      <c r="T137" s="248" t="str">
        <f>IFERROR(VLOOKUP(S137,TD!$J$34:$K$44,2,0)," ")</f>
        <v>Servicio de formación en gestión del riesgo de incendios para el personal UAECOB</v>
      </c>
      <c r="U137" s="249" t="str">
        <f>CONCATENATE(S137,"-",T137)</f>
        <v>07-Servicio de formación en gestión del riesgo de incendios para el personal UAECOB</v>
      </c>
      <c r="V137" s="51" t="s">
        <v>233</v>
      </c>
      <c r="W137" s="248" t="str">
        <f>IFERROR(VLOOKUP(V137,TD!$N$34:$O$46,2,0)," ")</f>
        <v>Servicio de educación informal</v>
      </c>
      <c r="X137" s="249" t="str">
        <f>CONCATENATE(V137,"_",W137)</f>
        <v>002_Servicio de educación informal</v>
      </c>
      <c r="Y137" s="249" t="str">
        <f>CONCATENATE(U137," ",X137)</f>
        <v>07-Servicio de formación en gestión del riesgo de incendios para el personal UAECOB 002_Servicio de educación informal</v>
      </c>
      <c r="Z137" s="248" t="str">
        <f>CONCATENATE(P137,Q137,R137,S137,V137)</f>
        <v>O23011745032024025507002</v>
      </c>
      <c r="AA137" s="248" t="str">
        <f>IFERROR(VLOOKUP(Y137,TD!$K$47:$L$65,2,0)," ")</f>
        <v>PM/0131/0107/45030020255</v>
      </c>
      <c r="AB137" s="53" t="s">
        <v>138</v>
      </c>
      <c r="AC137" s="250" t="s">
        <v>204</v>
      </c>
    </row>
    <row r="138" spans="2:29" s="28" customFormat="1" ht="56" x14ac:dyDescent="0.35">
      <c r="B138" s="77">
        <v>20250126</v>
      </c>
      <c r="C138" s="50" t="s">
        <v>209</v>
      </c>
      <c r="D138" s="246" t="s">
        <v>165</v>
      </c>
      <c r="E138" s="51" t="s">
        <v>484</v>
      </c>
      <c r="F138" s="246" t="s">
        <v>432</v>
      </c>
      <c r="G138" s="246" t="s">
        <v>155</v>
      </c>
      <c r="H138" s="93">
        <v>80111600</v>
      </c>
      <c r="I138" s="247">
        <v>3</v>
      </c>
      <c r="J138" s="247">
        <v>10</v>
      </c>
      <c r="K138" s="52">
        <v>0</v>
      </c>
      <c r="L138" s="53">
        <f>68549000-13949000</f>
        <v>54600000</v>
      </c>
      <c r="M138" s="246" t="s">
        <v>464</v>
      </c>
      <c r="N138" s="53" t="s">
        <v>113</v>
      </c>
      <c r="O138" s="51" t="s">
        <v>229</v>
      </c>
      <c r="P138" s="248" t="str">
        <f>IFERROR(VLOOKUP(C138,TD!$B$33:$F$37,2,0)," ")</f>
        <v>O230117</v>
      </c>
      <c r="Q138" s="248" t="str">
        <f>IFERROR(VLOOKUP(C138,TD!$B$33:$F$37,3,0)," ")</f>
        <v>4503</v>
      </c>
      <c r="R138" s="248">
        <f>IFERROR(VLOOKUP(C138,TD!$B$33:$F$37,4,0)," ")</f>
        <v>20240255</v>
      </c>
      <c r="S138" s="51" t="s">
        <v>183</v>
      </c>
      <c r="T138" s="248" t="str">
        <f>IFERROR(VLOOKUP(S138,TD!$J$34:$K$44,2,0)," ")</f>
        <v>Servicio de formación en gestión del riesgo de incendios para el personal UAECOB</v>
      </c>
      <c r="U138" s="249" t="str">
        <f>CONCATENATE(S138,"-",T138)</f>
        <v>07-Servicio de formación en gestión del riesgo de incendios para el personal UAECOB</v>
      </c>
      <c r="V138" s="51" t="s">
        <v>233</v>
      </c>
      <c r="W138" s="248" t="str">
        <f>IFERROR(VLOOKUP(V138,TD!$N$34:$O$46,2,0)," ")</f>
        <v>Servicio de educación informal</v>
      </c>
      <c r="X138" s="249" t="str">
        <f>CONCATENATE(V138,"_",W138)</f>
        <v>002_Servicio de educación informal</v>
      </c>
      <c r="Y138" s="249" t="str">
        <f>CONCATENATE(U138," ",X138)</f>
        <v>07-Servicio de formación en gestión del riesgo de incendios para el personal UAECOB 002_Servicio de educación informal</v>
      </c>
      <c r="Z138" s="248" t="str">
        <f>CONCATENATE(P138,Q138,R138,S138,V138)</f>
        <v>O23011745032024025507002</v>
      </c>
      <c r="AA138" s="248" t="str">
        <f>IFERROR(VLOOKUP(Y138,TD!$K$47:$L$65,2,0)," ")</f>
        <v>PM/0131/0107/45030020255</v>
      </c>
      <c r="AB138" s="53" t="s">
        <v>138</v>
      </c>
      <c r="AC138" s="250" t="s">
        <v>204</v>
      </c>
    </row>
    <row r="139" spans="2:29" s="28" customFormat="1" ht="84" x14ac:dyDescent="0.35">
      <c r="B139" s="77">
        <v>20250127</v>
      </c>
      <c r="C139" s="50" t="s">
        <v>209</v>
      </c>
      <c r="D139" s="246" t="s">
        <v>165</v>
      </c>
      <c r="E139" s="51" t="s">
        <v>484</v>
      </c>
      <c r="F139" s="246" t="s">
        <v>433</v>
      </c>
      <c r="G139" s="246" t="s">
        <v>155</v>
      </c>
      <c r="H139" s="93">
        <v>80111600</v>
      </c>
      <c r="I139" s="247">
        <v>3</v>
      </c>
      <c r="J139" s="247">
        <v>10</v>
      </c>
      <c r="K139" s="52">
        <v>0</v>
      </c>
      <c r="L139" s="53">
        <f>57697166-17610266-2711900</f>
        <v>37375000</v>
      </c>
      <c r="M139" s="246" t="s">
        <v>464</v>
      </c>
      <c r="N139" s="53" t="s">
        <v>113</v>
      </c>
      <c r="O139" s="51" t="s">
        <v>229</v>
      </c>
      <c r="P139" s="248" t="str">
        <f>IFERROR(VLOOKUP(C139,TD!$B$33:$F$37,2,0)," ")</f>
        <v>O230117</v>
      </c>
      <c r="Q139" s="248" t="str">
        <f>IFERROR(VLOOKUP(C139,TD!$B$33:$F$37,3,0)," ")</f>
        <v>4503</v>
      </c>
      <c r="R139" s="248">
        <f>IFERROR(VLOOKUP(C139,TD!$B$33:$F$37,4,0)," ")</f>
        <v>20240255</v>
      </c>
      <c r="S139" s="51" t="s">
        <v>183</v>
      </c>
      <c r="T139" s="248" t="str">
        <f>IFERROR(VLOOKUP(S139,TD!$J$34:$K$44,2,0)," ")</f>
        <v>Servicio de formación en gestión del riesgo de incendios para el personal UAECOB</v>
      </c>
      <c r="U139" s="249" t="str">
        <f>CONCATENATE(S139,"-",T139)</f>
        <v>07-Servicio de formación en gestión del riesgo de incendios para el personal UAECOB</v>
      </c>
      <c r="V139" s="51" t="s">
        <v>233</v>
      </c>
      <c r="W139" s="248" t="str">
        <f>IFERROR(VLOOKUP(V139,TD!$N$34:$O$46,2,0)," ")</f>
        <v>Servicio de educación informal</v>
      </c>
      <c r="X139" s="249" t="str">
        <f>CONCATENATE(V139,"_",W139)</f>
        <v>002_Servicio de educación informal</v>
      </c>
      <c r="Y139" s="249" t="str">
        <f>CONCATENATE(U139," ",X139)</f>
        <v>07-Servicio de formación en gestión del riesgo de incendios para el personal UAECOB 002_Servicio de educación informal</v>
      </c>
      <c r="Z139" s="248" t="str">
        <f>CONCATENATE(P139,Q139,R139,S139,V139)</f>
        <v>O23011745032024025507002</v>
      </c>
      <c r="AA139" s="248" t="str">
        <f>IFERROR(VLOOKUP(Y139,TD!$K$47:$L$65,2,0)," ")</f>
        <v>PM/0131/0107/45030020255</v>
      </c>
      <c r="AB139" s="53" t="s">
        <v>138</v>
      </c>
      <c r="AC139" s="250" t="s">
        <v>204</v>
      </c>
    </row>
    <row r="140" spans="2:29" s="28" customFormat="1" ht="70" x14ac:dyDescent="0.35">
      <c r="B140" s="77">
        <v>20250128</v>
      </c>
      <c r="C140" s="50" t="s">
        <v>209</v>
      </c>
      <c r="D140" s="246" t="s">
        <v>165</v>
      </c>
      <c r="E140" s="51" t="s">
        <v>484</v>
      </c>
      <c r="F140" s="246" t="s">
        <v>433</v>
      </c>
      <c r="G140" s="246" t="s">
        <v>155</v>
      </c>
      <c r="H140" s="93">
        <v>80111600</v>
      </c>
      <c r="I140" s="247">
        <v>3</v>
      </c>
      <c r="J140" s="247">
        <v>10</v>
      </c>
      <c r="K140" s="52">
        <v>0</v>
      </c>
      <c r="L140" s="53">
        <f>57697166-1255224-7613267-11453675</f>
        <v>37375000</v>
      </c>
      <c r="M140" s="246" t="s">
        <v>464</v>
      </c>
      <c r="N140" s="53" t="s">
        <v>113</v>
      </c>
      <c r="O140" s="51" t="s">
        <v>229</v>
      </c>
      <c r="P140" s="248" t="str">
        <f>IFERROR(VLOOKUP(C140,TD!$B$33:$F$37,2,0)," ")</f>
        <v>O230117</v>
      </c>
      <c r="Q140" s="248" t="str">
        <f>IFERROR(VLOOKUP(C140,TD!$B$33:$F$37,3,0)," ")</f>
        <v>4503</v>
      </c>
      <c r="R140" s="248">
        <f>IFERROR(VLOOKUP(C140,TD!$B$33:$F$37,4,0)," ")</f>
        <v>20240255</v>
      </c>
      <c r="S140" s="51" t="s">
        <v>183</v>
      </c>
      <c r="T140" s="248" t="str">
        <f>IFERROR(VLOOKUP(S140,TD!$J$34:$K$44,2,0)," ")</f>
        <v>Servicio de formación en gestión del riesgo de incendios para el personal UAECOB</v>
      </c>
      <c r="U140" s="249" t="str">
        <f>CONCATENATE(S140,"-",T140)</f>
        <v>07-Servicio de formación en gestión del riesgo de incendios para el personal UAECOB</v>
      </c>
      <c r="V140" s="51" t="s">
        <v>233</v>
      </c>
      <c r="W140" s="248" t="str">
        <f>IFERROR(VLOOKUP(V140,TD!$N$34:$O$46,2,0)," ")</f>
        <v>Servicio de educación informal</v>
      </c>
      <c r="X140" s="249" t="str">
        <f>CONCATENATE(V140,"_",W140)</f>
        <v>002_Servicio de educación informal</v>
      </c>
      <c r="Y140" s="249" t="str">
        <f>CONCATENATE(U140," ",X140)</f>
        <v>07-Servicio de formación en gestión del riesgo de incendios para el personal UAECOB 002_Servicio de educación informal</v>
      </c>
      <c r="Z140" s="248" t="str">
        <f>CONCATENATE(P140,Q140,R140,S140,V140)</f>
        <v>O23011745032024025507002</v>
      </c>
      <c r="AA140" s="248" t="str">
        <f>IFERROR(VLOOKUP(Y140,TD!$K$47:$L$65,2,0)," ")</f>
        <v>PM/0131/0107/45030020255</v>
      </c>
      <c r="AB140" s="53" t="s">
        <v>138</v>
      </c>
      <c r="AC140" s="250" t="s">
        <v>204</v>
      </c>
    </row>
    <row r="141" spans="2:29" s="28" customFormat="1" ht="126" x14ac:dyDescent="0.35">
      <c r="B141" s="77">
        <v>20250129</v>
      </c>
      <c r="C141" s="50" t="s">
        <v>209</v>
      </c>
      <c r="D141" s="246" t="s">
        <v>165</v>
      </c>
      <c r="E141" s="51" t="s">
        <v>484</v>
      </c>
      <c r="F141" s="246" t="s">
        <v>434</v>
      </c>
      <c r="G141" s="246" t="s">
        <v>155</v>
      </c>
      <c r="H141" s="93">
        <v>80111600</v>
      </c>
      <c r="I141" s="247">
        <v>4</v>
      </c>
      <c r="J141" s="247">
        <v>9</v>
      </c>
      <c r="K141" s="52">
        <v>0</v>
      </c>
      <c r="L141" s="53">
        <v>43200000</v>
      </c>
      <c r="M141" s="246" t="s">
        <v>464</v>
      </c>
      <c r="N141" s="53" t="s">
        <v>113</v>
      </c>
      <c r="O141" s="51" t="s">
        <v>229</v>
      </c>
      <c r="P141" s="248" t="str">
        <f>IFERROR(VLOOKUP(C141,TD!$B$33:$F$37,2,0)," ")</f>
        <v>O230117</v>
      </c>
      <c r="Q141" s="248" t="str">
        <f>IFERROR(VLOOKUP(C141,TD!$B$33:$F$37,3,0)," ")</f>
        <v>4503</v>
      </c>
      <c r="R141" s="248">
        <f>IFERROR(VLOOKUP(C141,TD!$B$33:$F$37,4,0)," ")</f>
        <v>20240255</v>
      </c>
      <c r="S141" s="51" t="s">
        <v>183</v>
      </c>
      <c r="T141" s="248" t="str">
        <f>IFERROR(VLOOKUP(S141,TD!$J$34:$K$44,2,0)," ")</f>
        <v>Servicio de formación en gestión del riesgo de incendios para el personal UAECOB</v>
      </c>
      <c r="U141" s="249" t="str">
        <f>CONCATENATE(S141,"-",T141)</f>
        <v>07-Servicio de formación en gestión del riesgo de incendios para el personal UAECOB</v>
      </c>
      <c r="V141" s="51" t="s">
        <v>233</v>
      </c>
      <c r="W141" s="248" t="str">
        <f>IFERROR(VLOOKUP(V141,TD!$N$34:$O$46,2,0)," ")</f>
        <v>Servicio de educación informal</v>
      </c>
      <c r="X141" s="249" t="str">
        <f>CONCATENATE(V141,"_",W141)</f>
        <v>002_Servicio de educación informal</v>
      </c>
      <c r="Y141" s="249" t="str">
        <f>CONCATENATE(U141," ",X141)</f>
        <v>07-Servicio de formación en gestión del riesgo de incendios para el personal UAECOB 002_Servicio de educación informal</v>
      </c>
      <c r="Z141" s="248" t="str">
        <f>CONCATENATE(P141,Q141,R141,S141,V141)</f>
        <v>O23011745032024025507002</v>
      </c>
      <c r="AA141" s="248" t="str">
        <f>IFERROR(VLOOKUP(Y141,TD!$K$47:$L$65,2,0)," ")</f>
        <v>PM/0131/0107/45030020255</v>
      </c>
      <c r="AB141" s="125" t="s">
        <v>120</v>
      </c>
      <c r="AC141" s="250" t="s">
        <v>204</v>
      </c>
    </row>
    <row r="142" spans="2:29" s="28" customFormat="1" ht="56" x14ac:dyDescent="0.35">
      <c r="B142" s="77">
        <v>20250130</v>
      </c>
      <c r="C142" s="50" t="s">
        <v>209</v>
      </c>
      <c r="D142" s="246" t="s">
        <v>165</v>
      </c>
      <c r="E142" s="51" t="s">
        <v>484</v>
      </c>
      <c r="F142" s="246" t="s">
        <v>485</v>
      </c>
      <c r="G142" s="246" t="s">
        <v>156</v>
      </c>
      <c r="H142" s="93">
        <v>80111600</v>
      </c>
      <c r="I142" s="247">
        <v>2</v>
      </c>
      <c r="J142" s="247">
        <v>11</v>
      </c>
      <c r="K142" s="52">
        <v>0</v>
      </c>
      <c r="L142" s="53">
        <v>26272000</v>
      </c>
      <c r="M142" s="246" t="s">
        <v>464</v>
      </c>
      <c r="N142" s="53" t="s">
        <v>113</v>
      </c>
      <c r="O142" s="51" t="s">
        <v>229</v>
      </c>
      <c r="P142" s="248" t="str">
        <f>IFERROR(VLOOKUP(C142,TD!$B$33:$F$37,2,0)," ")</f>
        <v>O230117</v>
      </c>
      <c r="Q142" s="248" t="str">
        <f>IFERROR(VLOOKUP(C142,TD!$B$33:$F$37,3,0)," ")</f>
        <v>4503</v>
      </c>
      <c r="R142" s="248">
        <f>IFERROR(VLOOKUP(C142,TD!$B$33:$F$37,4,0)," ")</f>
        <v>20240255</v>
      </c>
      <c r="S142" s="51" t="s">
        <v>183</v>
      </c>
      <c r="T142" s="248" t="str">
        <f>IFERROR(VLOOKUP(S142,TD!$J$34:$K$44,2,0)," ")</f>
        <v>Servicio de formación en gestión del riesgo de incendios para el personal UAECOB</v>
      </c>
      <c r="U142" s="249" t="str">
        <f>CONCATENATE(S142,"-",T142)</f>
        <v>07-Servicio de formación en gestión del riesgo de incendios para el personal UAECOB</v>
      </c>
      <c r="V142" s="51" t="s">
        <v>233</v>
      </c>
      <c r="W142" s="248" t="str">
        <f>IFERROR(VLOOKUP(V142,TD!$N$34:$O$46,2,0)," ")</f>
        <v>Servicio de educación informal</v>
      </c>
      <c r="X142" s="249" t="str">
        <f>CONCATENATE(V142,"_",W142)</f>
        <v>002_Servicio de educación informal</v>
      </c>
      <c r="Y142" s="249" t="str">
        <f>CONCATENATE(U142," ",X142)</f>
        <v>07-Servicio de formación en gestión del riesgo de incendios para el personal UAECOB 002_Servicio de educación informal</v>
      </c>
      <c r="Z142" s="248" t="str">
        <f>CONCATENATE(P142,Q142,R142,S142,V142)</f>
        <v>O23011745032024025507002</v>
      </c>
      <c r="AA142" s="248" t="str">
        <f>IFERROR(VLOOKUP(Y142,TD!$K$47:$L$65,2,0)," ")</f>
        <v>PM/0131/0107/45030020255</v>
      </c>
      <c r="AB142" s="53" t="s">
        <v>138</v>
      </c>
      <c r="AC142" s="250" t="s">
        <v>204</v>
      </c>
    </row>
    <row r="143" spans="2:29" s="28" customFormat="1" ht="70" x14ac:dyDescent="0.35">
      <c r="B143" s="77">
        <v>20250132</v>
      </c>
      <c r="C143" s="50" t="s">
        <v>209</v>
      </c>
      <c r="D143" s="246" t="s">
        <v>165</v>
      </c>
      <c r="E143" s="51" t="s">
        <v>484</v>
      </c>
      <c r="F143" s="246" t="s">
        <v>711</v>
      </c>
      <c r="G143" s="246" t="s">
        <v>155</v>
      </c>
      <c r="H143" s="93">
        <v>80111600</v>
      </c>
      <c r="I143" s="247">
        <v>2</v>
      </c>
      <c r="J143" s="247">
        <v>11</v>
      </c>
      <c r="K143" s="52">
        <v>0</v>
      </c>
      <c r="L143" s="53">
        <f>75403900-16427900-576000</f>
        <v>58400000</v>
      </c>
      <c r="M143" s="246" t="s">
        <v>464</v>
      </c>
      <c r="N143" s="53" t="s">
        <v>113</v>
      </c>
      <c r="O143" s="51" t="s">
        <v>229</v>
      </c>
      <c r="P143" s="248" t="str">
        <f>IFERROR(VLOOKUP(C143,TD!$B$33:$F$37,2,0)," ")</f>
        <v>O230117</v>
      </c>
      <c r="Q143" s="248" t="str">
        <f>IFERROR(VLOOKUP(C143,TD!$B$33:$F$37,3,0)," ")</f>
        <v>4503</v>
      </c>
      <c r="R143" s="248">
        <f>IFERROR(VLOOKUP(C143,TD!$B$33:$F$37,4,0)," ")</f>
        <v>20240255</v>
      </c>
      <c r="S143" s="51" t="s">
        <v>183</v>
      </c>
      <c r="T143" s="248" t="str">
        <f>IFERROR(VLOOKUP(S143,TD!$J$34:$K$44,2,0)," ")</f>
        <v>Servicio de formación en gestión del riesgo de incendios para el personal UAECOB</v>
      </c>
      <c r="U143" s="249" t="str">
        <f>CONCATENATE(S143,"-",T143)</f>
        <v>07-Servicio de formación en gestión del riesgo de incendios para el personal UAECOB</v>
      </c>
      <c r="V143" s="51" t="s">
        <v>233</v>
      </c>
      <c r="W143" s="248" t="str">
        <f>IFERROR(VLOOKUP(V143,TD!$N$34:$O$46,2,0)," ")</f>
        <v>Servicio de educación informal</v>
      </c>
      <c r="X143" s="249" t="str">
        <f>CONCATENATE(V143,"_",W143)</f>
        <v>002_Servicio de educación informal</v>
      </c>
      <c r="Y143" s="249" t="str">
        <f>CONCATENATE(U143," ",X143)</f>
        <v>07-Servicio de formación en gestión del riesgo de incendios para el personal UAECOB 002_Servicio de educación informal</v>
      </c>
      <c r="Z143" s="248" t="str">
        <f>CONCATENATE(P143,Q143,R143,S143,V143)</f>
        <v>O23011745032024025507002</v>
      </c>
      <c r="AA143" s="248" t="str">
        <f>IFERROR(VLOOKUP(Y143,TD!$K$47:$L$65,2,0)," ")</f>
        <v>PM/0131/0107/45030020255</v>
      </c>
      <c r="AB143" s="53" t="s">
        <v>138</v>
      </c>
      <c r="AC143" s="250" t="s">
        <v>204</v>
      </c>
    </row>
    <row r="144" spans="2:29" s="28" customFormat="1" ht="56" x14ac:dyDescent="0.35">
      <c r="B144" s="77">
        <v>20250133</v>
      </c>
      <c r="C144" s="50" t="s">
        <v>209</v>
      </c>
      <c r="D144" s="246" t="s">
        <v>165</v>
      </c>
      <c r="E144" s="51" t="s">
        <v>484</v>
      </c>
      <c r="F144" s="246" t="s">
        <v>449</v>
      </c>
      <c r="G144" s="246" t="s">
        <v>155</v>
      </c>
      <c r="H144" s="93">
        <v>80111600</v>
      </c>
      <c r="I144" s="247">
        <v>3</v>
      </c>
      <c r="J144" s="247">
        <v>10</v>
      </c>
      <c r="K144" s="52">
        <v>0</v>
      </c>
      <c r="L144" s="53">
        <f>73822000-9413579-15408421</f>
        <v>49000000</v>
      </c>
      <c r="M144" s="246" t="s">
        <v>464</v>
      </c>
      <c r="N144" s="53" t="s">
        <v>113</v>
      </c>
      <c r="O144" s="51" t="s">
        <v>229</v>
      </c>
      <c r="P144" s="248" t="str">
        <f>IFERROR(VLOOKUP(C144,TD!$B$33:$F$37,2,0)," ")</f>
        <v>O230117</v>
      </c>
      <c r="Q144" s="248" t="str">
        <f>IFERROR(VLOOKUP(C144,TD!$B$33:$F$37,3,0)," ")</f>
        <v>4503</v>
      </c>
      <c r="R144" s="248">
        <f>IFERROR(VLOOKUP(C144,TD!$B$33:$F$37,4,0)," ")</f>
        <v>20240255</v>
      </c>
      <c r="S144" s="51" t="s">
        <v>183</v>
      </c>
      <c r="T144" s="248" t="str">
        <f>IFERROR(VLOOKUP(S144,TD!$J$34:$K$44,2,0)," ")</f>
        <v>Servicio de formación en gestión del riesgo de incendios para el personal UAECOB</v>
      </c>
      <c r="U144" s="249" t="str">
        <f>CONCATENATE(S144,"-",T144)</f>
        <v>07-Servicio de formación en gestión del riesgo de incendios para el personal UAECOB</v>
      </c>
      <c r="V144" s="51" t="s">
        <v>233</v>
      </c>
      <c r="W144" s="248" t="str">
        <f>IFERROR(VLOOKUP(V144,TD!$N$34:$O$46,2,0)," ")</f>
        <v>Servicio de educación informal</v>
      </c>
      <c r="X144" s="249" t="str">
        <f>CONCATENATE(V144,"_",W144)</f>
        <v>002_Servicio de educación informal</v>
      </c>
      <c r="Y144" s="249" t="str">
        <f>CONCATENATE(U144," ",X144)</f>
        <v>07-Servicio de formación en gestión del riesgo de incendios para el personal UAECOB 002_Servicio de educación informal</v>
      </c>
      <c r="Z144" s="248" t="str">
        <f>CONCATENATE(P144,Q144,R144,S144,V144)</f>
        <v>O23011745032024025507002</v>
      </c>
      <c r="AA144" s="248" t="str">
        <f>IFERROR(VLOOKUP(Y144,TD!$K$47:$L$65,2,0)," ")</f>
        <v>PM/0131/0107/45030020255</v>
      </c>
      <c r="AB144" s="53" t="s">
        <v>138</v>
      </c>
      <c r="AC144" s="250" t="s">
        <v>204</v>
      </c>
    </row>
    <row r="145" spans="2:29" s="28" customFormat="1" ht="98" x14ac:dyDescent="0.35">
      <c r="B145" s="127">
        <v>20250135</v>
      </c>
      <c r="C145" s="129" t="s">
        <v>209</v>
      </c>
      <c r="D145" s="251" t="s">
        <v>165</v>
      </c>
      <c r="E145" s="252" t="s">
        <v>484</v>
      </c>
      <c r="F145" s="251" t="s">
        <v>977</v>
      </c>
      <c r="G145" s="251" t="s">
        <v>155</v>
      </c>
      <c r="H145" s="130">
        <v>80111600</v>
      </c>
      <c r="I145" s="253">
        <v>3</v>
      </c>
      <c r="J145" s="253">
        <v>10</v>
      </c>
      <c r="K145" s="126">
        <v>0</v>
      </c>
      <c r="L145" s="125">
        <v>25000000</v>
      </c>
      <c r="M145" s="251" t="s">
        <v>464</v>
      </c>
      <c r="N145" s="125" t="s">
        <v>113</v>
      </c>
      <c r="O145" s="252" t="s">
        <v>229</v>
      </c>
      <c r="P145" s="254" t="str">
        <f>IFERROR(VLOOKUP(C145,TD!$B$33:$F$37,2,0)," ")</f>
        <v>O230117</v>
      </c>
      <c r="Q145" s="254" t="str">
        <f>IFERROR(VLOOKUP(C145,TD!$B$33:$F$37,3,0)," ")</f>
        <v>4503</v>
      </c>
      <c r="R145" s="254">
        <f>IFERROR(VLOOKUP(C145,TD!$B$33:$F$37,4,0)," ")</f>
        <v>20240255</v>
      </c>
      <c r="S145" s="252" t="s">
        <v>183</v>
      </c>
      <c r="T145" s="254" t="str">
        <f>IFERROR(VLOOKUP(S145,TD!$J$34:$K$44,2,0)," ")</f>
        <v>Servicio de formación en gestión del riesgo de incendios para el personal UAECOB</v>
      </c>
      <c r="U145" s="249" t="str">
        <f>CONCATENATE(S145,"-",T145)</f>
        <v>07-Servicio de formación en gestión del riesgo de incendios para el personal UAECOB</v>
      </c>
      <c r="V145" s="252" t="s">
        <v>233</v>
      </c>
      <c r="W145" s="254" t="str">
        <f>IFERROR(VLOOKUP(V145,TD!$N$34:$O$46,2,0)," ")</f>
        <v>Servicio de educación informal</v>
      </c>
      <c r="X145" s="249" t="str">
        <f>CONCATENATE(V145,"_",W145)</f>
        <v>002_Servicio de educación informal</v>
      </c>
      <c r="Y145" s="249" t="str">
        <f>CONCATENATE(U145," ",X145)</f>
        <v>07-Servicio de formación en gestión del riesgo de incendios para el personal UAECOB 002_Servicio de educación informal</v>
      </c>
      <c r="Z145" s="254" t="str">
        <f>CONCATENATE(P145,Q145,R145,S145,V145)</f>
        <v>O23011745032024025507002</v>
      </c>
      <c r="AA145" s="254" t="str">
        <f>IFERROR(VLOOKUP(Y145,TD!$K$47:$L$65,2,0)," ")</f>
        <v>PM/0131/0107/45030020255</v>
      </c>
      <c r="AB145" s="53" t="s">
        <v>138</v>
      </c>
      <c r="AC145" s="255" t="s">
        <v>204</v>
      </c>
    </row>
    <row r="146" spans="2:29" s="28" customFormat="1" ht="56" x14ac:dyDescent="0.35">
      <c r="B146" s="77">
        <v>20250136</v>
      </c>
      <c r="C146" s="50" t="s">
        <v>209</v>
      </c>
      <c r="D146" s="246" t="s">
        <v>165</v>
      </c>
      <c r="E146" s="51" t="s">
        <v>484</v>
      </c>
      <c r="F146" s="246" t="s">
        <v>451</v>
      </c>
      <c r="G146" s="246" t="s">
        <v>155</v>
      </c>
      <c r="H146" s="93">
        <v>80111600</v>
      </c>
      <c r="I146" s="247">
        <v>3</v>
      </c>
      <c r="J146" s="247">
        <v>10</v>
      </c>
      <c r="K146" s="52">
        <v>0</v>
      </c>
      <c r="L146" s="53">
        <f>58003000-19503000</f>
        <v>38500000</v>
      </c>
      <c r="M146" s="246" t="s">
        <v>464</v>
      </c>
      <c r="N146" s="53" t="s">
        <v>113</v>
      </c>
      <c r="O146" s="51" t="s">
        <v>229</v>
      </c>
      <c r="P146" s="248" t="str">
        <f>IFERROR(VLOOKUP(C146,TD!$B$33:$F$37,2,0)," ")</f>
        <v>O230117</v>
      </c>
      <c r="Q146" s="248" t="str">
        <f>IFERROR(VLOOKUP(C146,TD!$B$33:$F$37,3,0)," ")</f>
        <v>4503</v>
      </c>
      <c r="R146" s="248">
        <f>IFERROR(VLOOKUP(C146,TD!$B$33:$F$37,4,0)," ")</f>
        <v>20240255</v>
      </c>
      <c r="S146" s="51" t="s">
        <v>183</v>
      </c>
      <c r="T146" s="248" t="str">
        <f>IFERROR(VLOOKUP(S146,TD!$J$34:$K$44,2,0)," ")</f>
        <v>Servicio de formación en gestión del riesgo de incendios para el personal UAECOB</v>
      </c>
      <c r="U146" s="249" t="str">
        <f>CONCATENATE(S146,"-",T146)</f>
        <v>07-Servicio de formación en gestión del riesgo de incendios para el personal UAECOB</v>
      </c>
      <c r="V146" s="51" t="s">
        <v>233</v>
      </c>
      <c r="W146" s="248" t="str">
        <f>IFERROR(VLOOKUP(V146,TD!$N$34:$O$46,2,0)," ")</f>
        <v>Servicio de educación informal</v>
      </c>
      <c r="X146" s="249" t="str">
        <f>CONCATENATE(V146,"_",W146)</f>
        <v>002_Servicio de educación informal</v>
      </c>
      <c r="Y146" s="249" t="str">
        <f>CONCATENATE(U146," ",X146)</f>
        <v>07-Servicio de formación en gestión del riesgo de incendios para el personal UAECOB 002_Servicio de educación informal</v>
      </c>
      <c r="Z146" s="248" t="str">
        <f>CONCATENATE(P146,Q146,R146,S146,V146)</f>
        <v>O23011745032024025507002</v>
      </c>
      <c r="AA146" s="248" t="str">
        <f>IFERROR(VLOOKUP(Y146,TD!$K$47:$L$65,2,0)," ")</f>
        <v>PM/0131/0107/45030020255</v>
      </c>
      <c r="AB146" s="53" t="s">
        <v>138</v>
      </c>
      <c r="AC146" s="250" t="s">
        <v>204</v>
      </c>
    </row>
    <row r="147" spans="2:29" s="28" customFormat="1" ht="98" x14ac:dyDescent="0.35">
      <c r="B147" s="77">
        <v>20250138</v>
      </c>
      <c r="C147" s="50" t="s">
        <v>209</v>
      </c>
      <c r="D147" s="246" t="s">
        <v>165</v>
      </c>
      <c r="E147" s="51" t="s">
        <v>484</v>
      </c>
      <c r="F147" s="246" t="s">
        <v>966</v>
      </c>
      <c r="G147" s="246" t="s">
        <v>156</v>
      </c>
      <c r="H147" s="93">
        <v>80111600</v>
      </c>
      <c r="I147" s="247">
        <v>3</v>
      </c>
      <c r="J147" s="247">
        <v>10</v>
      </c>
      <c r="K147" s="52">
        <v>0</v>
      </c>
      <c r="L147" s="53">
        <f>32806497-19605807-400690</f>
        <v>12800000</v>
      </c>
      <c r="M147" s="246" t="s">
        <v>464</v>
      </c>
      <c r="N147" s="53" t="s">
        <v>113</v>
      </c>
      <c r="O147" s="51" t="s">
        <v>229</v>
      </c>
      <c r="P147" s="248" t="str">
        <f>IFERROR(VLOOKUP(C147,TD!$B$33:$F$37,2,0)," ")</f>
        <v>O230117</v>
      </c>
      <c r="Q147" s="248" t="str">
        <f>IFERROR(VLOOKUP(C147,TD!$B$33:$F$37,3,0)," ")</f>
        <v>4503</v>
      </c>
      <c r="R147" s="248">
        <f>IFERROR(VLOOKUP(C147,TD!$B$33:$F$37,4,0)," ")</f>
        <v>20240255</v>
      </c>
      <c r="S147" s="51" t="s">
        <v>183</v>
      </c>
      <c r="T147" s="248" t="str">
        <f>IFERROR(VLOOKUP(S147,TD!$J$34:$K$44,2,0)," ")</f>
        <v>Servicio de formación en gestión del riesgo de incendios para el personal UAECOB</v>
      </c>
      <c r="U147" s="249" t="str">
        <f>CONCATENATE(S147,"-",T147)</f>
        <v>07-Servicio de formación en gestión del riesgo de incendios para el personal UAECOB</v>
      </c>
      <c r="V147" s="51" t="s">
        <v>233</v>
      </c>
      <c r="W147" s="248" t="str">
        <f>IFERROR(VLOOKUP(V147,TD!$N$34:$O$46,2,0)," ")</f>
        <v>Servicio de educación informal</v>
      </c>
      <c r="X147" s="249" t="str">
        <f>CONCATENATE(V147,"_",W147)</f>
        <v>002_Servicio de educación informal</v>
      </c>
      <c r="Y147" s="249" t="str">
        <f>CONCATENATE(U147," ",X147)</f>
        <v>07-Servicio de formación en gestión del riesgo de incendios para el personal UAECOB 002_Servicio de educación informal</v>
      </c>
      <c r="Z147" s="248" t="str">
        <f>CONCATENATE(P147,Q147,R147,S147,V147)</f>
        <v>O23011745032024025507002</v>
      </c>
      <c r="AA147" s="248" t="str">
        <f>IFERROR(VLOOKUP(Y147,TD!$K$47:$L$65,2,0)," ")</f>
        <v>PM/0131/0107/45030020255</v>
      </c>
      <c r="AB147" s="53" t="s">
        <v>138</v>
      </c>
      <c r="AC147" s="250" t="s">
        <v>204</v>
      </c>
    </row>
    <row r="148" spans="2:29" s="28" customFormat="1" ht="98" x14ac:dyDescent="0.35">
      <c r="B148" s="77">
        <v>20250139</v>
      </c>
      <c r="C148" s="50" t="s">
        <v>209</v>
      </c>
      <c r="D148" s="246" t="s">
        <v>165</v>
      </c>
      <c r="E148" s="51" t="s">
        <v>484</v>
      </c>
      <c r="F148" s="246" t="s">
        <v>454</v>
      </c>
      <c r="G148" s="246" t="s">
        <v>155</v>
      </c>
      <c r="H148" s="93">
        <v>80111600</v>
      </c>
      <c r="I148" s="247">
        <v>3</v>
      </c>
      <c r="J148" s="247">
        <v>10</v>
      </c>
      <c r="K148" s="52">
        <v>0</v>
      </c>
      <c r="L148" s="53">
        <f>57697166-17447166</f>
        <v>40250000</v>
      </c>
      <c r="M148" s="246" t="s">
        <v>464</v>
      </c>
      <c r="N148" s="53" t="s">
        <v>113</v>
      </c>
      <c r="O148" s="51" t="s">
        <v>229</v>
      </c>
      <c r="P148" s="248" t="str">
        <f>IFERROR(VLOOKUP(C148,TD!$B$33:$F$37,2,0)," ")</f>
        <v>O230117</v>
      </c>
      <c r="Q148" s="248" t="str">
        <f>IFERROR(VLOOKUP(C148,TD!$B$33:$F$37,3,0)," ")</f>
        <v>4503</v>
      </c>
      <c r="R148" s="248">
        <f>IFERROR(VLOOKUP(C148,TD!$B$33:$F$37,4,0)," ")</f>
        <v>20240255</v>
      </c>
      <c r="S148" s="51" t="s">
        <v>183</v>
      </c>
      <c r="T148" s="248" t="str">
        <f>IFERROR(VLOOKUP(S148,TD!$J$34:$K$44,2,0)," ")</f>
        <v>Servicio de formación en gestión del riesgo de incendios para el personal UAECOB</v>
      </c>
      <c r="U148" s="249" t="str">
        <f>CONCATENATE(S148,"-",T148)</f>
        <v>07-Servicio de formación en gestión del riesgo de incendios para el personal UAECOB</v>
      </c>
      <c r="V148" s="51" t="s">
        <v>233</v>
      </c>
      <c r="W148" s="248" t="str">
        <f>IFERROR(VLOOKUP(V148,TD!$N$34:$O$46,2,0)," ")</f>
        <v>Servicio de educación informal</v>
      </c>
      <c r="X148" s="249" t="str">
        <f>CONCATENATE(V148,"_",W148)</f>
        <v>002_Servicio de educación informal</v>
      </c>
      <c r="Y148" s="249" t="str">
        <f>CONCATENATE(U148," ",X148)</f>
        <v>07-Servicio de formación en gestión del riesgo de incendios para el personal UAECOB 002_Servicio de educación informal</v>
      </c>
      <c r="Z148" s="248" t="str">
        <f>CONCATENATE(P148,Q148,R148,S148,V148)</f>
        <v>O23011745032024025507002</v>
      </c>
      <c r="AA148" s="248" t="str">
        <f>IFERROR(VLOOKUP(Y148,TD!$K$47:$L$65,2,0)," ")</f>
        <v>PM/0131/0107/45030020255</v>
      </c>
      <c r="AB148" s="53" t="s">
        <v>138</v>
      </c>
      <c r="AC148" s="250" t="s">
        <v>204</v>
      </c>
    </row>
    <row r="149" spans="2:29" s="28" customFormat="1" ht="56" x14ac:dyDescent="0.35">
      <c r="B149" s="127">
        <v>20250142</v>
      </c>
      <c r="C149" s="129" t="s">
        <v>209</v>
      </c>
      <c r="D149" s="251" t="s">
        <v>165</v>
      </c>
      <c r="E149" s="252" t="s">
        <v>484</v>
      </c>
      <c r="F149" s="251" t="s">
        <v>850</v>
      </c>
      <c r="G149" s="251" t="s">
        <v>96</v>
      </c>
      <c r="H149" s="130" t="s">
        <v>486</v>
      </c>
      <c r="I149" s="253">
        <v>9</v>
      </c>
      <c r="J149" s="253">
        <v>4</v>
      </c>
      <c r="K149" s="126">
        <v>0</v>
      </c>
      <c r="L149" s="125">
        <v>187868635</v>
      </c>
      <c r="M149" s="251" t="s">
        <v>464</v>
      </c>
      <c r="N149" s="125" t="s">
        <v>90</v>
      </c>
      <c r="O149" s="252" t="s">
        <v>229</v>
      </c>
      <c r="P149" s="254" t="str">
        <f>IFERROR(VLOOKUP(C149,TD!$B$33:$F$37,2,0)," ")</f>
        <v>O230117</v>
      </c>
      <c r="Q149" s="254" t="str">
        <f>IFERROR(VLOOKUP(C149,TD!$B$33:$F$37,3,0)," ")</f>
        <v>4503</v>
      </c>
      <c r="R149" s="254">
        <f>IFERROR(VLOOKUP(C149,TD!$B$33:$F$37,4,0)," ")</f>
        <v>20240255</v>
      </c>
      <c r="S149" s="252" t="s">
        <v>183</v>
      </c>
      <c r="T149" s="254" t="str">
        <f>IFERROR(VLOOKUP(S149,TD!$J$34:$K$44,2,0)," ")</f>
        <v>Servicio de formación en gestión del riesgo de incendios para el personal UAECOB</v>
      </c>
      <c r="U149" s="249" t="str">
        <f>CONCATENATE(S149,"-",T149)</f>
        <v>07-Servicio de formación en gestión del riesgo de incendios para el personal UAECOB</v>
      </c>
      <c r="V149" s="252" t="s">
        <v>233</v>
      </c>
      <c r="W149" s="254" t="str">
        <f>IFERROR(VLOOKUP(V149,TD!$N$34:$O$46,2,0)," ")</f>
        <v>Servicio de educación informal</v>
      </c>
      <c r="X149" s="249" t="str">
        <f>CONCATENATE(V149,"_",W149)</f>
        <v>002_Servicio de educación informal</v>
      </c>
      <c r="Y149" s="249" t="str">
        <f>CONCATENATE(U149," ",X149)</f>
        <v>07-Servicio de formación en gestión del riesgo de incendios para el personal UAECOB 002_Servicio de educación informal</v>
      </c>
      <c r="Z149" s="254" t="str">
        <f>CONCATENATE(P149,Q149,R149,S149,V149)</f>
        <v>O23011745032024025507002</v>
      </c>
      <c r="AA149" s="254" t="str">
        <f>IFERROR(VLOOKUP(Y149,TD!$K$47:$L$65,2,0)," ")</f>
        <v>PM/0131/0107/45030020255</v>
      </c>
      <c r="AB149" s="53" t="s">
        <v>138</v>
      </c>
      <c r="AC149" s="255" t="s">
        <v>204</v>
      </c>
    </row>
    <row r="150" spans="2:29" s="28" customFormat="1" ht="56" x14ac:dyDescent="0.35">
      <c r="B150" s="127">
        <v>20250143</v>
      </c>
      <c r="C150" s="129" t="s">
        <v>209</v>
      </c>
      <c r="D150" s="251" t="s">
        <v>165</v>
      </c>
      <c r="E150" s="252" t="s">
        <v>484</v>
      </c>
      <c r="F150" s="251" t="s">
        <v>891</v>
      </c>
      <c r="G150" s="251" t="s">
        <v>96</v>
      </c>
      <c r="H150" s="130" t="s">
        <v>487</v>
      </c>
      <c r="I150" s="253">
        <v>5</v>
      </c>
      <c r="J150" s="253">
        <v>4</v>
      </c>
      <c r="K150" s="126">
        <v>0</v>
      </c>
      <c r="L150" s="125">
        <v>116618999</v>
      </c>
      <c r="M150" s="251" t="s">
        <v>464</v>
      </c>
      <c r="N150" s="125" t="s">
        <v>113</v>
      </c>
      <c r="O150" s="252" t="s">
        <v>229</v>
      </c>
      <c r="P150" s="254" t="str">
        <f>IFERROR(VLOOKUP(C150,TD!$B$33:$F$37,2,0)," ")</f>
        <v>O230117</v>
      </c>
      <c r="Q150" s="254" t="str">
        <f>IFERROR(VLOOKUP(C150,TD!$B$33:$F$37,3,0)," ")</f>
        <v>4503</v>
      </c>
      <c r="R150" s="254">
        <f>IFERROR(VLOOKUP(C150,TD!$B$33:$F$37,4,0)," ")</f>
        <v>20240255</v>
      </c>
      <c r="S150" s="252" t="s">
        <v>183</v>
      </c>
      <c r="T150" s="254" t="str">
        <f>IFERROR(VLOOKUP(S150,TD!$J$34:$K$44,2,0)," ")</f>
        <v>Servicio de formación en gestión del riesgo de incendios para el personal UAECOB</v>
      </c>
      <c r="U150" s="249" t="str">
        <f>CONCATENATE(S150,"-",T150)</f>
        <v>07-Servicio de formación en gestión del riesgo de incendios para el personal UAECOB</v>
      </c>
      <c r="V150" s="252" t="s">
        <v>233</v>
      </c>
      <c r="W150" s="254" t="str">
        <f>IFERROR(VLOOKUP(V150,TD!$N$34:$O$46,2,0)," ")</f>
        <v>Servicio de educación informal</v>
      </c>
      <c r="X150" s="249" t="str">
        <f>CONCATENATE(V150,"_",W150)</f>
        <v>002_Servicio de educación informal</v>
      </c>
      <c r="Y150" s="249" t="str">
        <f>CONCATENATE(U150," ",X150)</f>
        <v>07-Servicio de formación en gestión del riesgo de incendios para el personal UAECOB 002_Servicio de educación informal</v>
      </c>
      <c r="Z150" s="254" t="str">
        <f>CONCATENATE(P150,Q150,R150,S150,V150)</f>
        <v>O23011745032024025507002</v>
      </c>
      <c r="AA150" s="254" t="str">
        <f>IFERROR(VLOOKUP(Y150,TD!$K$47:$L$65,2,0)," ")</f>
        <v>PM/0131/0107/45030020255</v>
      </c>
      <c r="AB150" s="53" t="s">
        <v>138</v>
      </c>
      <c r="AC150" s="255" t="s">
        <v>204</v>
      </c>
    </row>
    <row r="151" spans="2:29" s="28" customFormat="1" ht="70" x14ac:dyDescent="0.35">
      <c r="B151" s="77">
        <v>20250146</v>
      </c>
      <c r="C151" s="50" t="s">
        <v>209</v>
      </c>
      <c r="D151" s="246" t="s">
        <v>165</v>
      </c>
      <c r="E151" s="51" t="s">
        <v>484</v>
      </c>
      <c r="F151" s="246" t="s">
        <v>882</v>
      </c>
      <c r="G151" s="246" t="s">
        <v>109</v>
      </c>
      <c r="H151" s="93" t="s">
        <v>892</v>
      </c>
      <c r="I151" s="247">
        <v>7</v>
      </c>
      <c r="J151" s="247">
        <v>2</v>
      </c>
      <c r="K151" s="52">
        <v>0</v>
      </c>
      <c r="L151" s="53">
        <v>36317435</v>
      </c>
      <c r="M151" s="246" t="s">
        <v>464</v>
      </c>
      <c r="N151" s="53" t="s">
        <v>100</v>
      </c>
      <c r="O151" s="51" t="s">
        <v>229</v>
      </c>
      <c r="P151" s="248" t="str">
        <f>IFERROR(VLOOKUP(C151,TD!$B$33:$F$37,2,0)," ")</f>
        <v>O230117</v>
      </c>
      <c r="Q151" s="248" t="str">
        <f>IFERROR(VLOOKUP(C151,TD!$B$33:$F$37,3,0)," ")</f>
        <v>4503</v>
      </c>
      <c r="R151" s="248">
        <f>IFERROR(VLOOKUP(C151,TD!$B$33:$F$37,4,0)," ")</f>
        <v>20240255</v>
      </c>
      <c r="S151" s="51" t="s">
        <v>183</v>
      </c>
      <c r="T151" s="248" t="str">
        <f>IFERROR(VLOOKUP(S151,TD!$J$34:$K$44,2,0)," ")</f>
        <v>Servicio de formación en gestión del riesgo de incendios para el personal UAECOB</v>
      </c>
      <c r="U151" s="249" t="str">
        <f>CONCATENATE(S151,"-",T151)</f>
        <v>07-Servicio de formación en gestión del riesgo de incendios para el personal UAECOB</v>
      </c>
      <c r="V151" s="51" t="s">
        <v>233</v>
      </c>
      <c r="W151" s="248" t="str">
        <f>IFERROR(VLOOKUP(V151,TD!$N$34:$O$46,2,0)," ")</f>
        <v>Servicio de educación informal</v>
      </c>
      <c r="X151" s="249" t="str">
        <f>CONCATENATE(V151,"_",W151)</f>
        <v>002_Servicio de educación informal</v>
      </c>
      <c r="Y151" s="249" t="str">
        <f>CONCATENATE(U151," ",X151)</f>
        <v>07-Servicio de formación en gestión del riesgo de incendios para el personal UAECOB 002_Servicio de educación informal</v>
      </c>
      <c r="Z151" s="248" t="str">
        <f>CONCATENATE(P151,Q151,R151,S151,V151)</f>
        <v>O23011745032024025507002</v>
      </c>
      <c r="AA151" s="248" t="str">
        <f>IFERROR(VLOOKUP(Y151,TD!$K$47:$L$65,2,0)," ")</f>
        <v>PM/0131/0107/45030020255</v>
      </c>
      <c r="AB151" s="53" t="s">
        <v>138</v>
      </c>
      <c r="AC151" s="250" t="s">
        <v>204</v>
      </c>
    </row>
    <row r="152" spans="2:29" s="28" customFormat="1" ht="56" x14ac:dyDescent="0.35">
      <c r="B152" s="127">
        <v>20250147</v>
      </c>
      <c r="C152" s="129" t="s">
        <v>209</v>
      </c>
      <c r="D152" s="251" t="s">
        <v>165</v>
      </c>
      <c r="E152" s="252" t="s">
        <v>484</v>
      </c>
      <c r="F152" s="251" t="s">
        <v>851</v>
      </c>
      <c r="G152" s="251" t="s">
        <v>109</v>
      </c>
      <c r="H152" s="130" t="s">
        <v>947</v>
      </c>
      <c r="I152" s="253">
        <v>6</v>
      </c>
      <c r="J152" s="253">
        <v>4</v>
      </c>
      <c r="K152" s="126">
        <v>0</v>
      </c>
      <c r="L152" s="125">
        <v>23881100</v>
      </c>
      <c r="M152" s="251" t="s">
        <v>464</v>
      </c>
      <c r="N152" s="125" t="s">
        <v>100</v>
      </c>
      <c r="O152" s="252" t="s">
        <v>229</v>
      </c>
      <c r="P152" s="254" t="str">
        <f>IFERROR(VLOOKUP(C152,TD!$B$33:$F$37,2,0)," ")</f>
        <v>O230117</v>
      </c>
      <c r="Q152" s="254" t="str">
        <f>IFERROR(VLOOKUP(C152,TD!$B$33:$F$37,3,0)," ")</f>
        <v>4503</v>
      </c>
      <c r="R152" s="254">
        <f>IFERROR(VLOOKUP(C152,TD!$B$33:$F$37,4,0)," ")</f>
        <v>20240255</v>
      </c>
      <c r="S152" s="252" t="s">
        <v>183</v>
      </c>
      <c r="T152" s="254" t="str">
        <f>IFERROR(VLOOKUP(S152,TD!$J$34:$K$44,2,0)," ")</f>
        <v>Servicio de formación en gestión del riesgo de incendios para el personal UAECOB</v>
      </c>
      <c r="U152" s="249" t="str">
        <f>CONCATENATE(S152,"-",T152)</f>
        <v>07-Servicio de formación en gestión del riesgo de incendios para el personal UAECOB</v>
      </c>
      <c r="V152" s="252" t="s">
        <v>233</v>
      </c>
      <c r="W152" s="254" t="str">
        <f>IFERROR(VLOOKUP(V152,TD!$N$34:$O$46,2,0)," ")</f>
        <v>Servicio de educación informal</v>
      </c>
      <c r="X152" s="249" t="str">
        <f>CONCATENATE(V152,"_",W152)</f>
        <v>002_Servicio de educación informal</v>
      </c>
      <c r="Y152" s="249" t="str">
        <f>CONCATENATE(U152," ",X152)</f>
        <v>07-Servicio de formación en gestión del riesgo de incendios para el personal UAECOB 002_Servicio de educación informal</v>
      </c>
      <c r="Z152" s="254" t="str">
        <f>CONCATENATE(P152,Q152,R152,S152,V152)</f>
        <v>O23011745032024025507002</v>
      </c>
      <c r="AA152" s="254" t="str">
        <f>IFERROR(VLOOKUP(Y152,TD!$K$47:$L$65,2,0)," ")</f>
        <v>PM/0131/0107/45030020255</v>
      </c>
      <c r="AB152" s="53" t="s">
        <v>138</v>
      </c>
      <c r="AC152" s="255" t="s">
        <v>204</v>
      </c>
    </row>
    <row r="153" spans="2:29" s="28" customFormat="1" ht="42" x14ac:dyDescent="0.35">
      <c r="B153" s="127">
        <v>20250148</v>
      </c>
      <c r="C153" s="129" t="s">
        <v>209</v>
      </c>
      <c r="D153" s="251" t="s">
        <v>165</v>
      </c>
      <c r="E153" s="252" t="s">
        <v>484</v>
      </c>
      <c r="F153" s="251" t="s">
        <v>1369</v>
      </c>
      <c r="G153" s="251" t="s">
        <v>119</v>
      </c>
      <c r="H153" s="130" t="s">
        <v>488</v>
      </c>
      <c r="I153" s="253">
        <v>4</v>
      </c>
      <c r="J153" s="253">
        <v>4</v>
      </c>
      <c r="K153" s="126">
        <v>0</v>
      </c>
      <c r="L153" s="125">
        <v>110000000</v>
      </c>
      <c r="M153" s="251" t="s">
        <v>464</v>
      </c>
      <c r="N153" s="125" t="s">
        <v>123</v>
      </c>
      <c r="O153" s="252" t="s">
        <v>229</v>
      </c>
      <c r="P153" s="254" t="str">
        <f>IFERROR(VLOOKUP(C153,TD!$B$33:$F$37,2,0)," ")</f>
        <v>O230117</v>
      </c>
      <c r="Q153" s="254" t="str">
        <f>IFERROR(VLOOKUP(C153,TD!$B$33:$F$37,3,0)," ")</f>
        <v>4503</v>
      </c>
      <c r="R153" s="254">
        <f>IFERROR(VLOOKUP(C153,TD!$B$33:$F$37,4,0)," ")</f>
        <v>20240255</v>
      </c>
      <c r="S153" s="252" t="s">
        <v>183</v>
      </c>
      <c r="T153" s="254" t="str">
        <f>IFERROR(VLOOKUP(S153,TD!$J$34:$K$44,2,0)," ")</f>
        <v>Servicio de formación en gestión del riesgo de incendios para el personal UAECOB</v>
      </c>
      <c r="U153" s="249" t="str">
        <f>CONCATENATE(S153,"-",T153)</f>
        <v>07-Servicio de formación en gestión del riesgo de incendios para el personal UAECOB</v>
      </c>
      <c r="V153" s="252" t="s">
        <v>233</v>
      </c>
      <c r="W153" s="254" t="str">
        <f>IFERROR(VLOOKUP(V153,TD!$N$34:$O$46,2,0)," ")</f>
        <v>Servicio de educación informal</v>
      </c>
      <c r="X153" s="249" t="str">
        <f>CONCATENATE(V153,"_",W153)</f>
        <v>002_Servicio de educación informal</v>
      </c>
      <c r="Y153" s="249" t="str">
        <f>CONCATENATE(U153," ",X153)</f>
        <v>07-Servicio de formación en gestión del riesgo de incendios para el personal UAECOB 002_Servicio de educación informal</v>
      </c>
      <c r="Z153" s="254" t="str">
        <f>CONCATENATE(P153,Q153,R153,S153,V153)</f>
        <v>O23011745032024025507002</v>
      </c>
      <c r="AA153" s="254" t="str">
        <f>IFERROR(VLOOKUP(Y153,TD!$K$47:$L$65,2,0)," ")</f>
        <v>PM/0131/0107/45030020255</v>
      </c>
      <c r="AB153" s="53" t="s">
        <v>138</v>
      </c>
      <c r="AC153" s="255" t="s">
        <v>204</v>
      </c>
    </row>
    <row r="154" spans="2:29" s="28" customFormat="1" ht="70" x14ac:dyDescent="0.35">
      <c r="B154" s="127">
        <v>20250149</v>
      </c>
      <c r="C154" s="129" t="s">
        <v>209</v>
      </c>
      <c r="D154" s="251" t="s">
        <v>165</v>
      </c>
      <c r="E154" s="252" t="s">
        <v>484</v>
      </c>
      <c r="F154" s="251" t="s">
        <v>959</v>
      </c>
      <c r="G154" s="251" t="s">
        <v>155</v>
      </c>
      <c r="H154" s="130">
        <v>80111600</v>
      </c>
      <c r="I154" s="253">
        <v>5</v>
      </c>
      <c r="J154" s="253">
        <v>4</v>
      </c>
      <c r="K154" s="126">
        <v>0</v>
      </c>
      <c r="L154" s="125">
        <v>36458000</v>
      </c>
      <c r="M154" s="251" t="s">
        <v>464</v>
      </c>
      <c r="N154" s="125" t="s">
        <v>113</v>
      </c>
      <c r="O154" s="252" t="s">
        <v>229</v>
      </c>
      <c r="P154" s="254" t="str">
        <f>IFERROR(VLOOKUP(C154,TD!$B$33:$F$37,2,0)," ")</f>
        <v>O230117</v>
      </c>
      <c r="Q154" s="254" t="str">
        <f>IFERROR(VLOOKUP(C154,TD!$B$33:$F$37,3,0)," ")</f>
        <v>4503</v>
      </c>
      <c r="R154" s="254">
        <f>IFERROR(VLOOKUP(C154,TD!$B$33:$F$37,4,0)," ")</f>
        <v>20240255</v>
      </c>
      <c r="S154" s="252" t="s">
        <v>183</v>
      </c>
      <c r="T154" s="254" t="str">
        <f>IFERROR(VLOOKUP(S154,TD!$J$34:$K$44,2,0)," ")</f>
        <v>Servicio de formación en gestión del riesgo de incendios para el personal UAECOB</v>
      </c>
      <c r="U154" s="249" t="str">
        <f>CONCATENATE(S154,"-",T154)</f>
        <v>07-Servicio de formación en gestión del riesgo de incendios para el personal UAECOB</v>
      </c>
      <c r="V154" s="252" t="s">
        <v>233</v>
      </c>
      <c r="W154" s="254" t="str">
        <f>IFERROR(VLOOKUP(V154,TD!$N$34:$O$46,2,0)," ")</f>
        <v>Servicio de educación informal</v>
      </c>
      <c r="X154" s="249" t="str">
        <f>CONCATENATE(V154,"_",W154)</f>
        <v>002_Servicio de educación informal</v>
      </c>
      <c r="Y154" s="249" t="str">
        <f>CONCATENATE(U154," ",X154)</f>
        <v>07-Servicio de formación en gestión del riesgo de incendios para el personal UAECOB 002_Servicio de educación informal</v>
      </c>
      <c r="Z154" s="254" t="str">
        <f>CONCATENATE(P154,Q154,R154,S154,V154)</f>
        <v>O23011745032024025507002</v>
      </c>
      <c r="AA154" s="254" t="str">
        <f>IFERROR(VLOOKUP(Y154,TD!$K$47:$L$65,2,0)," ")</f>
        <v>PM/0131/0107/45030020255</v>
      </c>
      <c r="AB154" s="53" t="s">
        <v>138</v>
      </c>
      <c r="AC154" s="255" t="s">
        <v>204</v>
      </c>
    </row>
    <row r="155" spans="2:29" s="28" customFormat="1" ht="70" x14ac:dyDescent="0.35">
      <c r="B155" s="127">
        <v>20250150</v>
      </c>
      <c r="C155" s="129" t="s">
        <v>209</v>
      </c>
      <c r="D155" s="251" t="s">
        <v>165</v>
      </c>
      <c r="E155" s="252" t="s">
        <v>484</v>
      </c>
      <c r="F155" s="251" t="s">
        <v>391</v>
      </c>
      <c r="G155" s="251" t="s">
        <v>137</v>
      </c>
      <c r="H155" s="130">
        <v>90121800</v>
      </c>
      <c r="I155" s="253">
        <v>2</v>
      </c>
      <c r="J155" s="253">
        <v>11</v>
      </c>
      <c r="K155" s="126">
        <v>0</v>
      </c>
      <c r="L155" s="125">
        <f>79050006-20241273</f>
        <v>58808733</v>
      </c>
      <c r="M155" s="251" t="s">
        <v>464</v>
      </c>
      <c r="N155" s="125" t="s">
        <v>113</v>
      </c>
      <c r="O155" s="252" t="s">
        <v>229</v>
      </c>
      <c r="P155" s="254" t="str">
        <f>IFERROR(VLOOKUP(C155,TD!$B$33:$F$37,2,0)," ")</f>
        <v>O230117</v>
      </c>
      <c r="Q155" s="254" t="str">
        <f>IFERROR(VLOOKUP(C155,TD!$B$33:$F$37,3,0)," ")</f>
        <v>4503</v>
      </c>
      <c r="R155" s="254">
        <f>IFERROR(VLOOKUP(C155,TD!$B$33:$F$37,4,0)," ")</f>
        <v>20240255</v>
      </c>
      <c r="S155" s="252" t="s">
        <v>183</v>
      </c>
      <c r="T155" s="254" t="str">
        <f>IFERROR(VLOOKUP(S155,TD!$J$34:$K$44,2,0)," ")</f>
        <v>Servicio de formación en gestión del riesgo de incendios para el personal UAECOB</v>
      </c>
      <c r="U155" s="249" t="str">
        <f>CONCATENATE(S155,"-",T155)</f>
        <v>07-Servicio de formación en gestión del riesgo de incendios para el personal UAECOB</v>
      </c>
      <c r="V155" s="252" t="s">
        <v>233</v>
      </c>
      <c r="W155" s="254" t="str">
        <f>IFERROR(VLOOKUP(V155,TD!$N$34:$O$46,2,0)," ")</f>
        <v>Servicio de educación informal</v>
      </c>
      <c r="X155" s="249" t="str">
        <f>CONCATENATE(V155,"_",W155)</f>
        <v>002_Servicio de educación informal</v>
      </c>
      <c r="Y155" s="249" t="str">
        <f>CONCATENATE(U155," ",X155)</f>
        <v>07-Servicio de formación en gestión del riesgo de incendios para el personal UAECOB 002_Servicio de educación informal</v>
      </c>
      <c r="Z155" s="254" t="str">
        <f>CONCATENATE(P155,Q155,R155,S155,V155)</f>
        <v>O23011745032024025507002</v>
      </c>
      <c r="AA155" s="254" t="str">
        <f>IFERROR(VLOOKUP(Y155,TD!$K$47:$L$65,2,0)," ")</f>
        <v>PM/0131/0107/45030020255</v>
      </c>
      <c r="AB155" s="125" t="s">
        <v>138</v>
      </c>
      <c r="AC155" s="255" t="s">
        <v>204</v>
      </c>
    </row>
    <row r="156" spans="2:29" s="28" customFormat="1" ht="70" x14ac:dyDescent="0.35">
      <c r="B156" s="127">
        <v>20250151</v>
      </c>
      <c r="C156" s="129" t="s">
        <v>209</v>
      </c>
      <c r="D156" s="251" t="s">
        <v>165</v>
      </c>
      <c r="E156" s="252" t="s">
        <v>484</v>
      </c>
      <c r="F156" s="251" t="s">
        <v>390</v>
      </c>
      <c r="G156" s="251" t="s">
        <v>137</v>
      </c>
      <c r="H156" s="130">
        <v>90121800</v>
      </c>
      <c r="I156" s="253">
        <v>2</v>
      </c>
      <c r="J156" s="253">
        <v>11</v>
      </c>
      <c r="K156" s="126">
        <v>0</v>
      </c>
      <c r="L156" s="125">
        <v>291291891</v>
      </c>
      <c r="M156" s="251" t="s">
        <v>464</v>
      </c>
      <c r="N156" s="125" t="s">
        <v>113</v>
      </c>
      <c r="O156" s="252" t="s">
        <v>229</v>
      </c>
      <c r="P156" s="254" t="str">
        <f>IFERROR(VLOOKUP(C156,TD!$B$33:$F$37,2,0)," ")</f>
        <v>O230117</v>
      </c>
      <c r="Q156" s="254" t="str">
        <f>IFERROR(VLOOKUP(C156,TD!$B$33:$F$37,3,0)," ")</f>
        <v>4503</v>
      </c>
      <c r="R156" s="254">
        <f>IFERROR(VLOOKUP(C156,TD!$B$33:$F$37,4,0)," ")</f>
        <v>20240255</v>
      </c>
      <c r="S156" s="252" t="s">
        <v>183</v>
      </c>
      <c r="T156" s="254" t="str">
        <f>IFERROR(VLOOKUP(S156,TD!$J$34:$K$44,2,0)," ")</f>
        <v>Servicio de formación en gestión del riesgo de incendios para el personal UAECOB</v>
      </c>
      <c r="U156" s="249" t="str">
        <f>CONCATENATE(S156,"-",T156)</f>
        <v>07-Servicio de formación en gestión del riesgo de incendios para el personal UAECOB</v>
      </c>
      <c r="V156" s="252" t="s">
        <v>233</v>
      </c>
      <c r="W156" s="254" t="str">
        <f>IFERROR(VLOOKUP(V156,TD!$N$34:$O$46,2,0)," ")</f>
        <v>Servicio de educación informal</v>
      </c>
      <c r="X156" s="249" t="str">
        <f>CONCATENATE(V156,"_",W156)</f>
        <v>002_Servicio de educación informal</v>
      </c>
      <c r="Y156" s="249" t="str">
        <f>CONCATENATE(U156," ",X156)</f>
        <v>07-Servicio de formación en gestión del riesgo de incendios para el personal UAECOB 002_Servicio de educación informal</v>
      </c>
      <c r="Z156" s="254" t="str">
        <f>CONCATENATE(P156,Q156,R156,S156,V156)</f>
        <v>O23011745032024025507002</v>
      </c>
      <c r="AA156" s="254" t="str">
        <f>IFERROR(VLOOKUP(Y156,TD!$K$47:$L$65,2,0)," ")</f>
        <v>PM/0131/0107/45030020255</v>
      </c>
      <c r="AB156" s="125" t="s">
        <v>138</v>
      </c>
      <c r="AC156" s="255" t="s">
        <v>204</v>
      </c>
    </row>
    <row r="157" spans="2:29" s="28" customFormat="1" ht="98" x14ac:dyDescent="0.35">
      <c r="B157" s="77">
        <v>20250152</v>
      </c>
      <c r="C157" s="50" t="s">
        <v>346</v>
      </c>
      <c r="D157" s="246" t="s">
        <v>165</v>
      </c>
      <c r="E157" s="51" t="s">
        <v>484</v>
      </c>
      <c r="F157" s="246" t="s">
        <v>852</v>
      </c>
      <c r="G157" s="246" t="s">
        <v>96</v>
      </c>
      <c r="H157" s="93" t="s">
        <v>420</v>
      </c>
      <c r="I157" s="247">
        <v>3</v>
      </c>
      <c r="J157" s="247">
        <v>9</v>
      </c>
      <c r="K157" s="52">
        <v>0</v>
      </c>
      <c r="L157" s="53">
        <v>750000000</v>
      </c>
      <c r="M157" s="246" t="s">
        <v>172</v>
      </c>
      <c r="N157" s="53" t="s">
        <v>90</v>
      </c>
      <c r="O157" s="51" t="s">
        <v>347</v>
      </c>
      <c r="P157" s="248" t="str">
        <f>IFERROR(VLOOKUP(C157,TD!$B$33:$F$37,2,0)," ")</f>
        <v>NA</v>
      </c>
      <c r="Q157" s="248" t="str">
        <f>IFERROR(VLOOKUP(C157,TD!$B$33:$F$37,3,0)," ")</f>
        <v>NA</v>
      </c>
      <c r="R157" s="248" t="str">
        <f>IFERROR(VLOOKUP(C157,TD!$B$33:$F$37,4,0)," ")</f>
        <v>NA</v>
      </c>
      <c r="S157" s="51" t="s">
        <v>406</v>
      </c>
      <c r="T157" s="248" t="str">
        <f>IFERROR(VLOOKUP(S157,TD!$J$34:$K$44,2,0)," ")</f>
        <v>N/A</v>
      </c>
      <c r="U157" s="249" t="str">
        <f>CONCATENATE(S157,"-",T157)</f>
        <v>N/A-N/A</v>
      </c>
      <c r="V157" s="51" t="s">
        <v>406</v>
      </c>
      <c r="W157" s="248" t="str">
        <f>IFERROR(VLOOKUP(V157,TD!$N$34:$O$46,2,0)," ")</f>
        <v>N/A</v>
      </c>
      <c r="X157" s="249" t="str">
        <f>CONCATENATE(V157,"_",W157)</f>
        <v>N/A_N/A</v>
      </c>
      <c r="Y157" s="249" t="str">
        <f>CONCATENATE(U157," ",X157)</f>
        <v>N/A-N/A N/A_N/A</v>
      </c>
      <c r="Z157" s="248" t="str">
        <f>CONCATENATE(P157,Q157,R157,S157,V157)</f>
        <v>NANANAN/AN/A</v>
      </c>
      <c r="AA157" s="248" t="str">
        <f>IFERROR(VLOOKUP(Y157,TD!$K$47:$L$65,2,0)," ")</f>
        <v>N/A</v>
      </c>
      <c r="AB157" s="53" t="s">
        <v>348</v>
      </c>
      <c r="AC157" s="250" t="s">
        <v>204</v>
      </c>
    </row>
    <row r="158" spans="2:29" s="28" customFormat="1" ht="126" x14ac:dyDescent="0.35">
      <c r="B158" s="77">
        <v>20250153</v>
      </c>
      <c r="C158" s="50" t="s">
        <v>346</v>
      </c>
      <c r="D158" s="246" t="s">
        <v>165</v>
      </c>
      <c r="E158" s="51" t="s">
        <v>484</v>
      </c>
      <c r="F158" s="246" t="s">
        <v>489</v>
      </c>
      <c r="G158" s="246" t="s">
        <v>137</v>
      </c>
      <c r="H158" s="93" t="s">
        <v>406</v>
      </c>
      <c r="I158" s="247">
        <v>9</v>
      </c>
      <c r="J158" s="247">
        <v>9</v>
      </c>
      <c r="K158" s="52">
        <v>0</v>
      </c>
      <c r="L158" s="53">
        <v>179741000</v>
      </c>
      <c r="M158" s="246" t="s">
        <v>172</v>
      </c>
      <c r="N158" s="53" t="s">
        <v>128</v>
      </c>
      <c r="O158" s="51" t="s">
        <v>347</v>
      </c>
      <c r="P158" s="248" t="str">
        <f>IFERROR(VLOOKUP(C158,TD!$B$33:$F$37,2,0)," ")</f>
        <v>NA</v>
      </c>
      <c r="Q158" s="248" t="str">
        <f>IFERROR(VLOOKUP(C158,TD!$B$33:$F$37,3,0)," ")</f>
        <v>NA</v>
      </c>
      <c r="R158" s="248" t="str">
        <f>IFERROR(VLOOKUP(C158,TD!$B$33:$F$37,4,0)," ")</f>
        <v>NA</v>
      </c>
      <c r="S158" s="51" t="s">
        <v>406</v>
      </c>
      <c r="T158" s="248" t="str">
        <f>IFERROR(VLOOKUP(S158,TD!$J$34:$K$44,2,0)," ")</f>
        <v>N/A</v>
      </c>
      <c r="U158" s="249" t="str">
        <f>CONCATENATE(S158,"-",T158)</f>
        <v>N/A-N/A</v>
      </c>
      <c r="V158" s="51" t="s">
        <v>406</v>
      </c>
      <c r="W158" s="248" t="str">
        <f>IFERROR(VLOOKUP(V158,TD!$N$34:$O$46,2,0)," ")</f>
        <v>N/A</v>
      </c>
      <c r="X158" s="249" t="str">
        <f>CONCATENATE(V158,"_",W158)</f>
        <v>N/A_N/A</v>
      </c>
      <c r="Y158" s="249" t="str">
        <f>CONCATENATE(U158," ",X158)</f>
        <v>N/A-N/A N/A_N/A</v>
      </c>
      <c r="Z158" s="248" t="str">
        <f>CONCATENATE(P158,Q158,R158,S158,V158)</f>
        <v>NANANAN/AN/A</v>
      </c>
      <c r="AA158" s="248" t="str">
        <f>IFERROR(VLOOKUP(Y158,TD!$K$47:$L$65,2,0)," ")</f>
        <v>N/A</v>
      </c>
      <c r="AB158" s="125" t="s">
        <v>348</v>
      </c>
      <c r="AC158" s="250" t="s">
        <v>204</v>
      </c>
    </row>
    <row r="159" spans="2:29" s="28" customFormat="1" ht="42" x14ac:dyDescent="0.35">
      <c r="B159" s="77">
        <v>20250154</v>
      </c>
      <c r="C159" s="50" t="s">
        <v>346</v>
      </c>
      <c r="D159" s="246" t="s">
        <v>165</v>
      </c>
      <c r="E159" s="51" t="s">
        <v>484</v>
      </c>
      <c r="F159" s="246" t="s">
        <v>853</v>
      </c>
      <c r="G159" s="246" t="s">
        <v>96</v>
      </c>
      <c r="H159" s="93" t="s">
        <v>441</v>
      </c>
      <c r="I159" s="247">
        <v>3</v>
      </c>
      <c r="J159" s="247">
        <v>8</v>
      </c>
      <c r="K159" s="52">
        <v>0</v>
      </c>
      <c r="L159" s="53">
        <v>1620259000</v>
      </c>
      <c r="M159" s="246" t="s">
        <v>172</v>
      </c>
      <c r="N159" s="53" t="s">
        <v>113</v>
      </c>
      <c r="O159" s="51" t="s">
        <v>347</v>
      </c>
      <c r="P159" s="248" t="str">
        <f>IFERROR(VLOOKUP(C159,TD!$B$33:$F$37,2,0)," ")</f>
        <v>NA</v>
      </c>
      <c r="Q159" s="248" t="str">
        <f>IFERROR(VLOOKUP(C159,TD!$B$33:$F$37,3,0)," ")</f>
        <v>NA</v>
      </c>
      <c r="R159" s="248" t="str">
        <f>IFERROR(VLOOKUP(C159,TD!$B$33:$F$37,4,0)," ")</f>
        <v>NA</v>
      </c>
      <c r="S159" s="51" t="s">
        <v>406</v>
      </c>
      <c r="T159" s="248" t="str">
        <f>IFERROR(VLOOKUP(S159,TD!$J$34:$K$44,2,0)," ")</f>
        <v>N/A</v>
      </c>
      <c r="U159" s="249" t="str">
        <f>CONCATENATE(S159,"-",T159)</f>
        <v>N/A-N/A</v>
      </c>
      <c r="V159" s="51" t="s">
        <v>406</v>
      </c>
      <c r="W159" s="248" t="str">
        <f>IFERROR(VLOOKUP(V159,TD!$N$34:$O$46,2,0)," ")</f>
        <v>N/A</v>
      </c>
      <c r="X159" s="249" t="str">
        <f>CONCATENATE(V159,"_",W159)</f>
        <v>N/A_N/A</v>
      </c>
      <c r="Y159" s="249" t="str">
        <f>CONCATENATE(U159," ",X159)</f>
        <v>N/A-N/A N/A_N/A</v>
      </c>
      <c r="Z159" s="248" t="str">
        <f>CONCATENATE(P159,Q159,R159,S159,V159)</f>
        <v>NANANAN/AN/A</v>
      </c>
      <c r="AA159" s="248" t="str">
        <f>IFERROR(VLOOKUP(Y159,TD!$K$47:$L$65,2,0)," ")</f>
        <v>N/A</v>
      </c>
      <c r="AB159" s="53" t="s">
        <v>348</v>
      </c>
      <c r="AC159" s="250" t="s">
        <v>204</v>
      </c>
    </row>
    <row r="160" spans="2:29" s="28" customFormat="1" ht="42" x14ac:dyDescent="0.35">
      <c r="B160" s="77">
        <v>20250156</v>
      </c>
      <c r="C160" s="50" t="s">
        <v>209</v>
      </c>
      <c r="D160" s="246" t="s">
        <v>168</v>
      </c>
      <c r="E160" s="51" t="s">
        <v>600</v>
      </c>
      <c r="F160" s="246" t="s">
        <v>932</v>
      </c>
      <c r="G160" s="246" t="s">
        <v>96</v>
      </c>
      <c r="H160" s="93">
        <v>25172500</v>
      </c>
      <c r="I160" s="247">
        <v>6</v>
      </c>
      <c r="J160" s="247">
        <v>12</v>
      </c>
      <c r="K160" s="52">
        <v>0</v>
      </c>
      <c r="L160" s="53">
        <v>95000000</v>
      </c>
      <c r="M160" s="246" t="s">
        <v>464</v>
      </c>
      <c r="N160" s="53" t="s">
        <v>95</v>
      </c>
      <c r="O160" s="51" t="s">
        <v>224</v>
      </c>
      <c r="P160" s="248" t="str">
        <f>IFERROR(VLOOKUP(C160,TD!$B$33:$F$37,2,0)," ")</f>
        <v>O230117</v>
      </c>
      <c r="Q160" s="248" t="str">
        <f>IFERROR(VLOOKUP(C160,TD!$B$33:$F$37,3,0)," ")</f>
        <v>4503</v>
      </c>
      <c r="R160" s="248">
        <f>IFERROR(VLOOKUP(C160,TD!$B$33:$F$37,4,0)," ")</f>
        <v>20240255</v>
      </c>
      <c r="S160" s="51" t="s">
        <v>187</v>
      </c>
      <c r="T160" s="248" t="str">
        <f>IFERROR(VLOOKUP(S160,TD!$J$34:$K$44,2,0)," ")</f>
        <v>Servicio de mantenimiento, dotación (HEA´s y equipo menor) y adquisición de vehiculos   especializados para la atención de emergencias.</v>
      </c>
      <c r="U160" s="249" t="str">
        <f>CONCATENATE(S160,"-",T160)</f>
        <v>09-Servicio de mantenimiento, dotación (HEA´s y equipo menor) y adquisición de vehiculos   especializados para la atención de emergencias.</v>
      </c>
      <c r="V160" s="51" t="s">
        <v>232</v>
      </c>
      <c r="W160" s="248" t="str">
        <f>IFERROR(VLOOKUP(V160,TD!$N$34:$O$46,2,0)," ")</f>
        <v>Servicio de atención a emergencias y desastres</v>
      </c>
      <c r="X160" s="249" t="str">
        <f>CONCATENATE(V160,"_",W160)</f>
        <v>004_Servicio de atención a emergencias y desastres</v>
      </c>
      <c r="Y160" s="249" t="str">
        <f>CONCATENATE(U160," ",X160)</f>
        <v>09-Servicio de mantenimiento, dotación (HEA´s y equipo menor) y adquisición de vehiculos   especializados para la atención de emergencias. 004_Servicio de atención a emergencias y desastres</v>
      </c>
      <c r="Z160" s="248" t="str">
        <f>CONCATENATE(P160,Q160,R160,S160,V160)</f>
        <v>O23011745032024025509004</v>
      </c>
      <c r="AA160" s="248" t="str">
        <f>IFERROR(VLOOKUP(Y160,TD!$K$47:$L$65,2,0)," ")</f>
        <v>PM/0131/0109/45030040255</v>
      </c>
      <c r="AB160" s="53" t="s">
        <v>87</v>
      </c>
      <c r="AC160" s="250" t="s">
        <v>204</v>
      </c>
    </row>
    <row r="161" spans="2:29" s="28" customFormat="1" ht="210" x14ac:dyDescent="0.35">
      <c r="B161" s="77">
        <v>20250157</v>
      </c>
      <c r="C161" s="50" t="s">
        <v>209</v>
      </c>
      <c r="D161" s="246" t="s">
        <v>168</v>
      </c>
      <c r="E161" s="51" t="s">
        <v>600</v>
      </c>
      <c r="F161" s="246" t="s">
        <v>490</v>
      </c>
      <c r="G161" s="246" t="s">
        <v>96</v>
      </c>
      <c r="H161" s="93" t="s">
        <v>970</v>
      </c>
      <c r="I161" s="247">
        <v>7</v>
      </c>
      <c r="J161" s="247">
        <v>12</v>
      </c>
      <c r="K161" s="52">
        <v>0</v>
      </c>
      <c r="L161" s="53">
        <f>74633400+25366600</f>
        <v>100000000</v>
      </c>
      <c r="M161" s="246" t="s">
        <v>464</v>
      </c>
      <c r="N161" s="53" t="s">
        <v>113</v>
      </c>
      <c r="O161" s="51" t="s">
        <v>224</v>
      </c>
      <c r="P161" s="248" t="str">
        <f>IFERROR(VLOOKUP(C161,TD!$B$33:$F$37,2,0)," ")</f>
        <v>O230117</v>
      </c>
      <c r="Q161" s="248" t="str">
        <f>IFERROR(VLOOKUP(C161,TD!$B$33:$F$37,3,0)," ")</f>
        <v>4503</v>
      </c>
      <c r="R161" s="248">
        <f>IFERROR(VLOOKUP(C161,TD!$B$33:$F$37,4,0)," ")</f>
        <v>20240255</v>
      </c>
      <c r="S161" s="51" t="s">
        <v>187</v>
      </c>
      <c r="T161" s="248" t="str">
        <f>IFERROR(VLOOKUP(S161,TD!$J$34:$K$44,2,0)," ")</f>
        <v>Servicio de mantenimiento, dotación (HEA´s y equipo menor) y adquisición de vehiculos   especializados para la atención de emergencias.</v>
      </c>
      <c r="U161" s="249" t="str">
        <f>CONCATENATE(S161,"-",T161)</f>
        <v>09-Servicio de mantenimiento, dotación (HEA´s y equipo menor) y adquisición de vehiculos   especializados para la atención de emergencias.</v>
      </c>
      <c r="V161" s="51" t="s">
        <v>232</v>
      </c>
      <c r="W161" s="248" t="str">
        <f>IFERROR(VLOOKUP(V161,TD!$N$34:$O$46,2,0)," ")</f>
        <v>Servicio de atención a emergencias y desastres</v>
      </c>
      <c r="X161" s="249" t="str">
        <f>CONCATENATE(V161,"_",W161)</f>
        <v>004_Servicio de atención a emergencias y desastres</v>
      </c>
      <c r="Y161" s="249" t="str">
        <f>CONCATENATE(U161," ",X161)</f>
        <v>09-Servicio de mantenimiento, dotación (HEA´s y equipo menor) y adquisición de vehiculos   especializados para la atención de emergencias. 004_Servicio de atención a emergencias y desastres</v>
      </c>
      <c r="Z161" s="248" t="str">
        <f>CONCATENATE(P161,Q161,R161,S161,V161)</f>
        <v>O23011745032024025509004</v>
      </c>
      <c r="AA161" s="248" t="str">
        <f>IFERROR(VLOOKUP(Y161,TD!$K$47:$L$65,2,0)," ")</f>
        <v>PM/0131/0109/45030040255</v>
      </c>
      <c r="AB161" s="53" t="s">
        <v>87</v>
      </c>
      <c r="AC161" s="250" t="s">
        <v>204</v>
      </c>
    </row>
    <row r="162" spans="2:29" s="28" customFormat="1" ht="70" x14ac:dyDescent="0.35">
      <c r="B162" s="77">
        <v>20250158</v>
      </c>
      <c r="C162" s="50" t="s">
        <v>209</v>
      </c>
      <c r="D162" s="246" t="s">
        <v>168</v>
      </c>
      <c r="E162" s="51" t="s">
        <v>600</v>
      </c>
      <c r="F162" s="246" t="s">
        <v>924</v>
      </c>
      <c r="G162" s="246" t="s">
        <v>146</v>
      </c>
      <c r="H162" s="93">
        <v>78181500</v>
      </c>
      <c r="I162" s="247">
        <v>8</v>
      </c>
      <c r="J162" s="247">
        <v>12</v>
      </c>
      <c r="K162" s="52">
        <v>0</v>
      </c>
      <c r="L162" s="53">
        <v>2100000000</v>
      </c>
      <c r="M162" s="246" t="s">
        <v>464</v>
      </c>
      <c r="N162" s="53" t="s">
        <v>85</v>
      </c>
      <c r="O162" s="51" t="s">
        <v>224</v>
      </c>
      <c r="P162" s="248" t="str">
        <f>IFERROR(VLOOKUP(C162,TD!$B$33:$F$37,2,0)," ")</f>
        <v>O230117</v>
      </c>
      <c r="Q162" s="248" t="str">
        <f>IFERROR(VLOOKUP(C162,TD!$B$33:$F$37,3,0)," ")</f>
        <v>4503</v>
      </c>
      <c r="R162" s="248">
        <f>IFERROR(VLOOKUP(C162,TD!$B$33:$F$37,4,0)," ")</f>
        <v>20240255</v>
      </c>
      <c r="S162" s="51" t="s">
        <v>187</v>
      </c>
      <c r="T162" s="248" t="str">
        <f>IFERROR(VLOOKUP(S162,TD!$J$34:$K$44,2,0)," ")</f>
        <v>Servicio de mantenimiento, dotación (HEA´s y equipo menor) y adquisición de vehiculos   especializados para la atención de emergencias.</v>
      </c>
      <c r="U162" s="249" t="str">
        <f>CONCATENATE(S162,"-",T162)</f>
        <v>09-Servicio de mantenimiento, dotación (HEA´s y equipo menor) y adquisición de vehiculos   especializados para la atención de emergencias.</v>
      </c>
      <c r="V162" s="51" t="s">
        <v>232</v>
      </c>
      <c r="W162" s="248" t="str">
        <f>IFERROR(VLOOKUP(V162,TD!$N$34:$O$46,2,0)," ")</f>
        <v>Servicio de atención a emergencias y desastres</v>
      </c>
      <c r="X162" s="249" t="str">
        <f>CONCATENATE(V162,"_",W162)</f>
        <v>004_Servicio de atención a emergencias y desastres</v>
      </c>
      <c r="Y162" s="249" t="str">
        <f>CONCATENATE(U162," ",X162)</f>
        <v>09-Servicio de mantenimiento, dotación (HEA´s y equipo menor) y adquisición de vehiculos   especializados para la atención de emergencias. 004_Servicio de atención a emergencias y desastres</v>
      </c>
      <c r="Z162" s="248" t="str">
        <f>CONCATENATE(P162,Q162,R162,S162,V162)</f>
        <v>O23011745032024025509004</v>
      </c>
      <c r="AA162" s="248" t="str">
        <f>IFERROR(VLOOKUP(Y162,TD!$K$47:$L$65,2,0)," ")</f>
        <v>PM/0131/0109/45030040255</v>
      </c>
      <c r="AB162" s="53" t="s">
        <v>145</v>
      </c>
      <c r="AC162" s="250" t="s">
        <v>204</v>
      </c>
    </row>
    <row r="163" spans="2:29" s="28" customFormat="1" ht="224" x14ac:dyDescent="0.35">
      <c r="B163" s="77">
        <v>20250159</v>
      </c>
      <c r="C163" s="50" t="s">
        <v>209</v>
      </c>
      <c r="D163" s="246" t="s">
        <v>168</v>
      </c>
      <c r="E163" s="51" t="s">
        <v>600</v>
      </c>
      <c r="F163" s="246" t="s">
        <v>491</v>
      </c>
      <c r="G163" s="246" t="s">
        <v>119</v>
      </c>
      <c r="H163" s="93" t="s">
        <v>386</v>
      </c>
      <c r="I163" s="247">
        <v>8</v>
      </c>
      <c r="J163" s="247">
        <v>8</v>
      </c>
      <c r="K163" s="52">
        <v>0</v>
      </c>
      <c r="L163" s="53">
        <v>64000000</v>
      </c>
      <c r="M163" s="246" t="s">
        <v>464</v>
      </c>
      <c r="N163" s="53" t="s">
        <v>100</v>
      </c>
      <c r="O163" s="51" t="s">
        <v>224</v>
      </c>
      <c r="P163" s="248" t="str">
        <f>IFERROR(VLOOKUP(C163,TD!$B$33:$F$37,2,0)," ")</f>
        <v>O230117</v>
      </c>
      <c r="Q163" s="248" t="str">
        <f>IFERROR(VLOOKUP(C163,TD!$B$33:$F$37,3,0)," ")</f>
        <v>4503</v>
      </c>
      <c r="R163" s="248">
        <f>IFERROR(VLOOKUP(C163,TD!$B$33:$F$37,4,0)," ")</f>
        <v>20240255</v>
      </c>
      <c r="S163" s="51" t="s">
        <v>191</v>
      </c>
      <c r="T163" s="248" t="str">
        <f>IFERROR(VLOOKUP(S163,TD!$J$34:$K$44,2,0)," ")</f>
        <v>Servicio de apoyo   logístico  en eventos operativos y/o emergencias.</v>
      </c>
      <c r="U163" s="249" t="str">
        <f>CONCATENATE(S163,"-",T163)</f>
        <v>12-Servicio de apoyo   logístico  en eventos operativos y/o emergencias.</v>
      </c>
      <c r="V163" s="51" t="s">
        <v>232</v>
      </c>
      <c r="W163" s="248" t="str">
        <f>IFERROR(VLOOKUP(V163,TD!$N$34:$O$46,2,0)," ")</f>
        <v>Servicio de atención a emergencias y desastres</v>
      </c>
      <c r="X163" s="249" t="str">
        <f>CONCATENATE(V163,"_",W163)</f>
        <v>004_Servicio de atención a emergencias y desastres</v>
      </c>
      <c r="Y163" s="249" t="str">
        <f>CONCATENATE(U163," ",X163)</f>
        <v>12-Servicio de apoyo   logístico  en eventos operativos y/o emergencias. 004_Servicio de atención a emergencias y desastres</v>
      </c>
      <c r="Z163" s="248" t="str">
        <f>CONCATENATE(P163,Q163,R163,S163,V163)</f>
        <v>O23011745032024025512004</v>
      </c>
      <c r="AA163" s="248" t="str">
        <f>IFERROR(VLOOKUP(Y163,TD!$K$47:$L$65,2,0)," ")</f>
        <v>PM/0131/0112/45030040255</v>
      </c>
      <c r="AB163" s="53" t="s">
        <v>97</v>
      </c>
      <c r="AC163" s="250" t="s">
        <v>204</v>
      </c>
    </row>
    <row r="164" spans="2:29" s="28" customFormat="1" ht="126" x14ac:dyDescent="0.35">
      <c r="B164" s="77">
        <v>20250160</v>
      </c>
      <c r="C164" s="50" t="s">
        <v>209</v>
      </c>
      <c r="D164" s="246" t="s">
        <v>168</v>
      </c>
      <c r="E164" s="51" t="s">
        <v>600</v>
      </c>
      <c r="F164" s="246" t="s">
        <v>933</v>
      </c>
      <c r="G164" s="246" t="s">
        <v>119</v>
      </c>
      <c r="H164" s="93" t="s">
        <v>986</v>
      </c>
      <c r="I164" s="247">
        <v>7</v>
      </c>
      <c r="J164" s="247">
        <v>12</v>
      </c>
      <c r="K164" s="52">
        <v>0</v>
      </c>
      <c r="L164" s="53">
        <f>227000000+23000000+20000000+130000000-180000000</f>
        <v>220000000</v>
      </c>
      <c r="M164" s="246" t="s">
        <v>464</v>
      </c>
      <c r="N164" s="53" t="s">
        <v>95</v>
      </c>
      <c r="O164" s="51" t="s">
        <v>224</v>
      </c>
      <c r="P164" s="248" t="str">
        <f>IFERROR(VLOOKUP(C164,TD!$B$33:$F$37,2,0)," ")</f>
        <v>O230117</v>
      </c>
      <c r="Q164" s="248" t="str">
        <f>IFERROR(VLOOKUP(C164,TD!$B$33:$F$37,3,0)," ")</f>
        <v>4503</v>
      </c>
      <c r="R164" s="248">
        <f>IFERROR(VLOOKUP(C164,TD!$B$33:$F$37,4,0)," ")</f>
        <v>20240255</v>
      </c>
      <c r="S164" s="51" t="s">
        <v>191</v>
      </c>
      <c r="T164" s="248" t="str">
        <f>IFERROR(VLOOKUP(S164,TD!$J$34:$K$44,2,0)," ")</f>
        <v>Servicio de apoyo   logístico  en eventos operativos y/o emergencias.</v>
      </c>
      <c r="U164" s="249" t="str">
        <f>CONCATENATE(S164,"-",T164)</f>
        <v>12-Servicio de apoyo   logístico  en eventos operativos y/o emergencias.</v>
      </c>
      <c r="V164" s="51" t="s">
        <v>232</v>
      </c>
      <c r="W164" s="248" t="str">
        <f>IFERROR(VLOOKUP(V164,TD!$N$34:$O$46,2,0)," ")</f>
        <v>Servicio de atención a emergencias y desastres</v>
      </c>
      <c r="X164" s="249" t="str">
        <f>CONCATENATE(V164,"_",W164)</f>
        <v>004_Servicio de atención a emergencias y desastres</v>
      </c>
      <c r="Y164" s="249" t="str">
        <f>CONCATENATE(U164," ",X164)</f>
        <v>12-Servicio de apoyo   logístico  en eventos operativos y/o emergencias. 004_Servicio de atención a emergencias y desastres</v>
      </c>
      <c r="Z164" s="248" t="str">
        <f>CONCATENATE(P164,Q164,R164,S164,V164)</f>
        <v>O23011745032024025512004</v>
      </c>
      <c r="AA164" s="248" t="str">
        <f>IFERROR(VLOOKUP(Y164,TD!$K$47:$L$65,2,0)," ")</f>
        <v>PM/0131/0112/45030040255</v>
      </c>
      <c r="AB164" s="53" t="s">
        <v>110</v>
      </c>
      <c r="AC164" s="250" t="s">
        <v>204</v>
      </c>
    </row>
    <row r="165" spans="2:29" s="28" customFormat="1" ht="42" x14ac:dyDescent="0.35">
      <c r="B165" s="77">
        <v>20250161</v>
      </c>
      <c r="C165" s="50" t="s">
        <v>209</v>
      </c>
      <c r="D165" s="246" t="s">
        <v>168</v>
      </c>
      <c r="E165" s="51" t="s">
        <v>600</v>
      </c>
      <c r="F165" s="246" t="s">
        <v>492</v>
      </c>
      <c r="G165" s="246" t="s">
        <v>119</v>
      </c>
      <c r="H165" s="93">
        <v>15101500</v>
      </c>
      <c r="I165" s="247">
        <v>8</v>
      </c>
      <c r="J165" s="247">
        <v>7</v>
      </c>
      <c r="K165" s="52">
        <v>0</v>
      </c>
      <c r="L165" s="53">
        <f>1080000000-180000000-50000000+121000000-121000000</f>
        <v>850000000</v>
      </c>
      <c r="M165" s="246" t="s">
        <v>464</v>
      </c>
      <c r="N165" s="53" t="s">
        <v>123</v>
      </c>
      <c r="O165" s="51" t="s">
        <v>224</v>
      </c>
      <c r="P165" s="248" t="str">
        <f>IFERROR(VLOOKUP(C165,TD!$B$33:$F$37,2,0)," ")</f>
        <v>O230117</v>
      </c>
      <c r="Q165" s="248" t="str">
        <f>IFERROR(VLOOKUP(C165,TD!$B$33:$F$37,3,0)," ")</f>
        <v>4503</v>
      </c>
      <c r="R165" s="248">
        <f>IFERROR(VLOOKUP(C165,TD!$B$33:$F$37,4,0)," ")</f>
        <v>20240255</v>
      </c>
      <c r="S165" s="51" t="s">
        <v>191</v>
      </c>
      <c r="T165" s="248" t="str">
        <f>IFERROR(VLOOKUP(S165,TD!$J$34:$K$44,2,0)," ")</f>
        <v>Servicio de apoyo   logístico  en eventos operativos y/o emergencias.</v>
      </c>
      <c r="U165" s="249" t="str">
        <f>CONCATENATE(S165,"-",T165)</f>
        <v>12-Servicio de apoyo   logístico  en eventos operativos y/o emergencias.</v>
      </c>
      <c r="V165" s="51" t="s">
        <v>232</v>
      </c>
      <c r="W165" s="248" t="str">
        <f>IFERROR(VLOOKUP(V165,TD!$N$34:$O$46,2,0)," ")</f>
        <v>Servicio de atención a emergencias y desastres</v>
      </c>
      <c r="X165" s="249" t="str">
        <f>CONCATENATE(V165,"_",W165)</f>
        <v>004_Servicio de atención a emergencias y desastres</v>
      </c>
      <c r="Y165" s="249" t="str">
        <f>CONCATENATE(U165," ",X165)</f>
        <v>12-Servicio de apoyo   logístico  en eventos operativos y/o emergencias. 004_Servicio de atención a emergencias y desastres</v>
      </c>
      <c r="Z165" s="248" t="str">
        <f>CONCATENATE(P165,Q165,R165,S165,V165)</f>
        <v>O23011745032024025512004</v>
      </c>
      <c r="AA165" s="248" t="str">
        <f>IFERROR(VLOOKUP(Y165,TD!$K$47:$L$65,2,0)," ")</f>
        <v>PM/0131/0112/45030040255</v>
      </c>
      <c r="AB165" s="53" t="s">
        <v>92</v>
      </c>
      <c r="AC165" s="250" t="s">
        <v>204</v>
      </c>
    </row>
    <row r="166" spans="2:29" s="28" customFormat="1" ht="56" x14ac:dyDescent="0.35">
      <c r="B166" s="77">
        <v>20250162</v>
      </c>
      <c r="C166" s="50" t="s">
        <v>209</v>
      </c>
      <c r="D166" s="246" t="s">
        <v>168</v>
      </c>
      <c r="E166" s="51" t="s">
        <v>600</v>
      </c>
      <c r="F166" s="246" t="s">
        <v>493</v>
      </c>
      <c r="G166" s="246" t="s">
        <v>119</v>
      </c>
      <c r="H166" s="93" t="s">
        <v>985</v>
      </c>
      <c r="I166" s="247">
        <v>8</v>
      </c>
      <c r="J166" s="247">
        <v>6</v>
      </c>
      <c r="K166" s="52">
        <v>0</v>
      </c>
      <c r="L166" s="53">
        <f>64000000-24000000</f>
        <v>40000000</v>
      </c>
      <c r="M166" s="246" t="s">
        <v>464</v>
      </c>
      <c r="N166" s="53" t="s">
        <v>100</v>
      </c>
      <c r="O166" s="51" t="s">
        <v>224</v>
      </c>
      <c r="P166" s="248" t="str">
        <f>IFERROR(VLOOKUP(C166,TD!$B$33:$F$37,2,0)," ")</f>
        <v>O230117</v>
      </c>
      <c r="Q166" s="248" t="str">
        <f>IFERROR(VLOOKUP(C166,TD!$B$33:$F$37,3,0)," ")</f>
        <v>4503</v>
      </c>
      <c r="R166" s="248">
        <f>IFERROR(VLOOKUP(C166,TD!$B$33:$F$37,4,0)," ")</f>
        <v>20240255</v>
      </c>
      <c r="S166" s="51" t="s">
        <v>191</v>
      </c>
      <c r="T166" s="248" t="str">
        <f>IFERROR(VLOOKUP(S166,TD!$J$34:$K$44,2,0)," ")</f>
        <v>Servicio de apoyo   logístico  en eventos operativos y/o emergencias.</v>
      </c>
      <c r="U166" s="249" t="str">
        <f>CONCATENATE(S166,"-",T166)</f>
        <v>12-Servicio de apoyo   logístico  en eventos operativos y/o emergencias.</v>
      </c>
      <c r="V166" s="51" t="s">
        <v>232</v>
      </c>
      <c r="W166" s="248" t="str">
        <f>IFERROR(VLOOKUP(V166,TD!$N$34:$O$46,2,0)," ")</f>
        <v>Servicio de atención a emergencias y desastres</v>
      </c>
      <c r="X166" s="249" t="str">
        <f>CONCATENATE(V166,"_",W166)</f>
        <v>004_Servicio de atención a emergencias y desastres</v>
      </c>
      <c r="Y166" s="249" t="str">
        <f>CONCATENATE(U166," ",X166)</f>
        <v>12-Servicio de apoyo   logístico  en eventos operativos y/o emergencias. 004_Servicio de atención a emergencias y desastres</v>
      </c>
      <c r="Z166" s="248" t="str">
        <f>CONCATENATE(P166,Q166,R166,S166,V166)</f>
        <v>O23011745032024025512004</v>
      </c>
      <c r="AA166" s="248" t="str">
        <f>IFERROR(VLOOKUP(Y166,TD!$K$47:$L$65,2,0)," ")</f>
        <v>PM/0131/0112/45030040255</v>
      </c>
      <c r="AB166" s="53" t="s">
        <v>134</v>
      </c>
      <c r="AC166" s="250" t="s">
        <v>204</v>
      </c>
    </row>
    <row r="167" spans="2:29" s="28" customFormat="1" ht="56" x14ac:dyDescent="0.35">
      <c r="B167" s="77">
        <v>20250163</v>
      </c>
      <c r="C167" s="50" t="s">
        <v>209</v>
      </c>
      <c r="D167" s="246" t="s">
        <v>168</v>
      </c>
      <c r="E167" s="51" t="s">
        <v>600</v>
      </c>
      <c r="F167" s="246" t="s">
        <v>494</v>
      </c>
      <c r="G167" s="246" t="s">
        <v>119</v>
      </c>
      <c r="H167" s="93" t="s">
        <v>425</v>
      </c>
      <c r="I167" s="247">
        <v>2</v>
      </c>
      <c r="J167" s="247">
        <v>6</v>
      </c>
      <c r="K167" s="52">
        <v>0</v>
      </c>
      <c r="L167" s="53">
        <v>45000000</v>
      </c>
      <c r="M167" s="246" t="s">
        <v>464</v>
      </c>
      <c r="N167" s="53" t="s">
        <v>113</v>
      </c>
      <c r="O167" s="51" t="s">
        <v>224</v>
      </c>
      <c r="P167" s="248" t="str">
        <f>IFERROR(VLOOKUP(C167,TD!$B$33:$F$37,2,0)," ")</f>
        <v>O230117</v>
      </c>
      <c r="Q167" s="248" t="str">
        <f>IFERROR(VLOOKUP(C167,TD!$B$33:$F$37,3,0)," ")</f>
        <v>4503</v>
      </c>
      <c r="R167" s="248">
        <f>IFERROR(VLOOKUP(C167,TD!$B$33:$F$37,4,0)," ")</f>
        <v>20240255</v>
      </c>
      <c r="S167" s="51" t="s">
        <v>187</v>
      </c>
      <c r="T167" s="248" t="str">
        <f>IFERROR(VLOOKUP(S167,TD!$J$34:$K$44,2,0)," ")</f>
        <v>Servicio de mantenimiento, dotación (HEA´s y equipo menor) y adquisición de vehiculos   especializados para la atención de emergencias.</v>
      </c>
      <c r="U167" s="249" t="str">
        <f>CONCATENATE(S167,"-",T167)</f>
        <v>09-Servicio de mantenimiento, dotación (HEA´s y equipo menor) y adquisición de vehiculos   especializados para la atención de emergencias.</v>
      </c>
      <c r="V167" s="51" t="s">
        <v>232</v>
      </c>
      <c r="W167" s="248" t="str">
        <f>IFERROR(VLOOKUP(V167,TD!$N$34:$O$46,2,0)," ")</f>
        <v>Servicio de atención a emergencias y desastres</v>
      </c>
      <c r="X167" s="249" t="str">
        <f>CONCATENATE(V167,"_",W167)</f>
        <v>004_Servicio de atención a emergencias y desastres</v>
      </c>
      <c r="Y167" s="249" t="str">
        <f>CONCATENATE(U167," ",X167)</f>
        <v>09-Servicio de mantenimiento, dotación (HEA´s y equipo menor) y adquisición de vehiculos   especializados para la atención de emergencias. 004_Servicio de atención a emergencias y desastres</v>
      </c>
      <c r="Z167" s="248" t="str">
        <f>CONCATENATE(P167,Q167,R167,S167,V167)</f>
        <v>O23011745032024025509004</v>
      </c>
      <c r="AA167" s="248" t="str">
        <f>IFERROR(VLOOKUP(Y167,TD!$K$47:$L$65,2,0)," ")</f>
        <v>PM/0131/0109/45030040255</v>
      </c>
      <c r="AB167" s="53" t="s">
        <v>87</v>
      </c>
      <c r="AC167" s="250" t="s">
        <v>204</v>
      </c>
    </row>
    <row r="168" spans="2:29" s="28" customFormat="1" ht="56" x14ac:dyDescent="0.35">
      <c r="B168" s="77">
        <v>20250164</v>
      </c>
      <c r="C168" s="50" t="s">
        <v>209</v>
      </c>
      <c r="D168" s="246" t="s">
        <v>168</v>
      </c>
      <c r="E168" s="51" t="s">
        <v>600</v>
      </c>
      <c r="F168" s="246" t="s">
        <v>495</v>
      </c>
      <c r="G168" s="246" t="s">
        <v>157</v>
      </c>
      <c r="H168" s="93" t="s">
        <v>984</v>
      </c>
      <c r="I168" s="247">
        <v>7</v>
      </c>
      <c r="J168" s="247">
        <v>12</v>
      </c>
      <c r="K168" s="52">
        <v>0</v>
      </c>
      <c r="L168" s="53">
        <f>120000000+60000000</f>
        <v>180000000</v>
      </c>
      <c r="M168" s="246" t="s">
        <v>464</v>
      </c>
      <c r="N168" s="53" t="s">
        <v>113</v>
      </c>
      <c r="O168" s="51" t="s">
        <v>224</v>
      </c>
      <c r="P168" s="248" t="str">
        <f>IFERROR(VLOOKUP(C168,TD!$B$33:$F$37,2,0)," ")</f>
        <v>O230117</v>
      </c>
      <c r="Q168" s="248" t="str">
        <f>IFERROR(VLOOKUP(C168,TD!$B$33:$F$37,3,0)," ")</f>
        <v>4503</v>
      </c>
      <c r="R168" s="248">
        <f>IFERROR(VLOOKUP(C168,TD!$B$33:$F$37,4,0)," ")</f>
        <v>20240255</v>
      </c>
      <c r="S168" s="51" t="s">
        <v>187</v>
      </c>
      <c r="T168" s="248" t="str">
        <f>IFERROR(VLOOKUP(S168,TD!$J$34:$K$44,2,0)," ")</f>
        <v>Servicio de mantenimiento, dotación (HEA´s y equipo menor) y adquisición de vehiculos   especializados para la atención de emergencias.</v>
      </c>
      <c r="U168" s="249" t="str">
        <f>CONCATENATE(S168,"-",T168)</f>
        <v>09-Servicio de mantenimiento, dotación (HEA´s y equipo menor) y adquisición de vehiculos   especializados para la atención de emergencias.</v>
      </c>
      <c r="V168" s="51" t="s">
        <v>232</v>
      </c>
      <c r="W168" s="248" t="str">
        <f>IFERROR(VLOOKUP(V168,TD!$N$34:$O$46,2,0)," ")</f>
        <v>Servicio de atención a emergencias y desastres</v>
      </c>
      <c r="X168" s="249" t="str">
        <f>CONCATENATE(V168,"_",W168)</f>
        <v>004_Servicio de atención a emergencias y desastres</v>
      </c>
      <c r="Y168" s="249" t="str">
        <f>CONCATENATE(U168," ",X168)</f>
        <v>09-Servicio de mantenimiento, dotación (HEA´s y equipo menor) y adquisición de vehiculos   especializados para la atención de emergencias. 004_Servicio de atención a emergencias y desastres</v>
      </c>
      <c r="Z168" s="248" t="str">
        <f>CONCATENATE(P168,Q168,R168,S168,V168)</f>
        <v>O23011745032024025509004</v>
      </c>
      <c r="AA168" s="248" t="str">
        <f>IFERROR(VLOOKUP(Y168,TD!$K$47:$L$65,2,0)," ")</f>
        <v>PM/0131/0109/45030040255</v>
      </c>
      <c r="AB168" s="53" t="s">
        <v>87</v>
      </c>
      <c r="AC168" s="250" t="s">
        <v>204</v>
      </c>
    </row>
    <row r="169" spans="2:29" s="28" customFormat="1" ht="56" x14ac:dyDescent="0.35">
      <c r="B169" s="77">
        <v>20250165</v>
      </c>
      <c r="C169" s="50" t="s">
        <v>209</v>
      </c>
      <c r="D169" s="246" t="s">
        <v>168</v>
      </c>
      <c r="E169" s="51" t="s">
        <v>600</v>
      </c>
      <c r="F169" s="246" t="s">
        <v>1033</v>
      </c>
      <c r="G169" s="246" t="s">
        <v>96</v>
      </c>
      <c r="H169" s="93" t="s">
        <v>1230</v>
      </c>
      <c r="I169" s="247">
        <v>8</v>
      </c>
      <c r="J169" s="247">
        <v>7</v>
      </c>
      <c r="K169" s="52">
        <v>0</v>
      </c>
      <c r="L169" s="53">
        <v>125000000</v>
      </c>
      <c r="M169" s="246" t="s">
        <v>464</v>
      </c>
      <c r="N169" s="53" t="s">
        <v>90</v>
      </c>
      <c r="O169" s="51" t="s">
        <v>224</v>
      </c>
      <c r="P169" s="248" t="str">
        <f>IFERROR(VLOOKUP(C169,TD!$B$33:$F$37,2,0)," ")</f>
        <v>O230117</v>
      </c>
      <c r="Q169" s="248" t="str">
        <f>IFERROR(VLOOKUP(C169,TD!$B$33:$F$37,3,0)," ")</f>
        <v>4503</v>
      </c>
      <c r="R169" s="248">
        <f>IFERROR(VLOOKUP(C169,TD!$B$33:$F$37,4,0)," ")</f>
        <v>20240255</v>
      </c>
      <c r="S169" s="51" t="s">
        <v>187</v>
      </c>
      <c r="T169" s="248" t="str">
        <f>IFERROR(VLOOKUP(S169,TD!$J$34:$K$44,2,0)," ")</f>
        <v>Servicio de mantenimiento, dotación (HEA´s y equipo menor) y adquisición de vehiculos   especializados para la atención de emergencias.</v>
      </c>
      <c r="U169" s="249" t="str">
        <f>CONCATENATE(S169,"-",T169)</f>
        <v>09-Servicio de mantenimiento, dotación (HEA´s y equipo menor) y adquisición de vehiculos   especializados para la atención de emergencias.</v>
      </c>
      <c r="V169" s="51" t="s">
        <v>232</v>
      </c>
      <c r="W169" s="248" t="str">
        <f>IFERROR(VLOOKUP(V169,TD!$N$34:$O$46,2,0)," ")</f>
        <v>Servicio de atención a emergencias y desastres</v>
      </c>
      <c r="X169" s="249" t="str">
        <f>CONCATENATE(V169,"_",W169)</f>
        <v>004_Servicio de atención a emergencias y desastres</v>
      </c>
      <c r="Y169" s="249" t="str">
        <f>CONCATENATE(U169," ",X169)</f>
        <v>09-Servicio de mantenimiento, dotación (HEA´s y equipo menor) y adquisición de vehiculos   especializados para la atención de emergencias. 004_Servicio de atención a emergencias y desastres</v>
      </c>
      <c r="Z169" s="248" t="str">
        <f>CONCATENATE(P169,Q169,R169,S169,V169)</f>
        <v>O23011745032024025509004</v>
      </c>
      <c r="AA169" s="248" t="str">
        <f>IFERROR(VLOOKUP(Y169,TD!$K$47:$L$65,2,0)," ")</f>
        <v>PM/0131/0109/45030040255</v>
      </c>
      <c r="AB169" s="53" t="s">
        <v>87</v>
      </c>
      <c r="AC169" s="250" t="s">
        <v>204</v>
      </c>
    </row>
    <row r="170" spans="2:29" s="28" customFormat="1" ht="56" x14ac:dyDescent="0.35">
      <c r="B170" s="77">
        <v>20250166</v>
      </c>
      <c r="C170" s="50" t="s">
        <v>209</v>
      </c>
      <c r="D170" s="246" t="s">
        <v>168</v>
      </c>
      <c r="E170" s="51" t="s">
        <v>600</v>
      </c>
      <c r="F170" s="246" t="s">
        <v>496</v>
      </c>
      <c r="G170" s="246" t="s">
        <v>96</v>
      </c>
      <c r="H170" s="93" t="s">
        <v>983</v>
      </c>
      <c r="I170" s="247">
        <v>8</v>
      </c>
      <c r="J170" s="247">
        <v>6</v>
      </c>
      <c r="K170" s="52">
        <v>0</v>
      </c>
      <c r="L170" s="53">
        <v>50000000</v>
      </c>
      <c r="M170" s="246" t="s">
        <v>464</v>
      </c>
      <c r="N170" s="53" t="s">
        <v>100</v>
      </c>
      <c r="O170" s="51" t="s">
        <v>224</v>
      </c>
      <c r="P170" s="248" t="str">
        <f>IFERROR(VLOOKUP(C170,TD!$B$33:$F$37,2,0)," ")</f>
        <v>O230117</v>
      </c>
      <c r="Q170" s="248" t="str">
        <f>IFERROR(VLOOKUP(C170,TD!$B$33:$F$37,3,0)," ")</f>
        <v>4503</v>
      </c>
      <c r="R170" s="248">
        <f>IFERROR(VLOOKUP(C170,TD!$B$33:$F$37,4,0)," ")</f>
        <v>20240255</v>
      </c>
      <c r="S170" s="51" t="s">
        <v>191</v>
      </c>
      <c r="T170" s="248" t="str">
        <f>IFERROR(VLOOKUP(S170,TD!$J$34:$K$44,2,0)," ")</f>
        <v>Servicio de apoyo   logístico  en eventos operativos y/o emergencias.</v>
      </c>
      <c r="U170" s="249" t="str">
        <f>CONCATENATE(S170,"-",T170)</f>
        <v>12-Servicio de apoyo   logístico  en eventos operativos y/o emergencias.</v>
      </c>
      <c r="V170" s="51" t="s">
        <v>232</v>
      </c>
      <c r="W170" s="248" t="str">
        <f>IFERROR(VLOOKUP(V170,TD!$N$34:$O$46,2,0)," ")</f>
        <v>Servicio de atención a emergencias y desastres</v>
      </c>
      <c r="X170" s="249" t="str">
        <f>CONCATENATE(V170,"_",W170)</f>
        <v>004_Servicio de atención a emergencias y desastres</v>
      </c>
      <c r="Y170" s="249" t="str">
        <f>CONCATENATE(U170," ",X170)</f>
        <v>12-Servicio de apoyo   logístico  en eventos operativos y/o emergencias. 004_Servicio de atención a emergencias y desastres</v>
      </c>
      <c r="Z170" s="248" t="str">
        <f>CONCATENATE(P170,Q170,R170,S170,V170)</f>
        <v>O23011745032024025512004</v>
      </c>
      <c r="AA170" s="248" t="str">
        <f>IFERROR(VLOOKUP(Y170,TD!$K$47:$L$65,2,0)," ")</f>
        <v>PM/0131/0112/45030040255</v>
      </c>
      <c r="AB170" s="53" t="s">
        <v>134</v>
      </c>
      <c r="AC170" s="250" t="s">
        <v>204</v>
      </c>
    </row>
    <row r="171" spans="2:29" s="28" customFormat="1" ht="42" x14ac:dyDescent="0.35">
      <c r="B171" s="77">
        <v>20250167</v>
      </c>
      <c r="C171" s="50" t="s">
        <v>209</v>
      </c>
      <c r="D171" s="246" t="s">
        <v>168</v>
      </c>
      <c r="E171" s="51" t="s">
        <v>600</v>
      </c>
      <c r="F171" s="246" t="s">
        <v>497</v>
      </c>
      <c r="G171" s="246" t="s">
        <v>109</v>
      </c>
      <c r="H171" s="93">
        <v>46191600</v>
      </c>
      <c r="I171" s="247">
        <v>9</v>
      </c>
      <c r="J171" s="247">
        <v>4</v>
      </c>
      <c r="K171" s="52">
        <v>0</v>
      </c>
      <c r="L171" s="53">
        <f>200000000+100000000</f>
        <v>300000000</v>
      </c>
      <c r="M171" s="246" t="s">
        <v>464</v>
      </c>
      <c r="N171" s="53" t="s">
        <v>95</v>
      </c>
      <c r="O171" s="51" t="s">
        <v>224</v>
      </c>
      <c r="P171" s="248" t="str">
        <f>IFERROR(VLOOKUP(C171,TD!$B$33:$F$37,2,0)," ")</f>
        <v>O230117</v>
      </c>
      <c r="Q171" s="248" t="str">
        <f>IFERROR(VLOOKUP(C171,TD!$B$33:$F$37,3,0)," ")</f>
        <v>4503</v>
      </c>
      <c r="R171" s="248">
        <f>IFERROR(VLOOKUP(C171,TD!$B$33:$F$37,4,0)," ")</f>
        <v>20240255</v>
      </c>
      <c r="S171" s="51" t="s">
        <v>191</v>
      </c>
      <c r="T171" s="248" t="str">
        <f>IFERROR(VLOOKUP(S171,TD!$J$34:$K$44,2,0)," ")</f>
        <v>Servicio de apoyo   logístico  en eventos operativos y/o emergencias.</v>
      </c>
      <c r="U171" s="249" t="str">
        <f>CONCATENATE(S171,"-",T171)</f>
        <v>12-Servicio de apoyo   logístico  en eventos operativos y/o emergencias.</v>
      </c>
      <c r="V171" s="51" t="s">
        <v>232</v>
      </c>
      <c r="W171" s="248" t="str">
        <f>IFERROR(VLOOKUP(V171,TD!$N$34:$O$46,2,0)," ")</f>
        <v>Servicio de atención a emergencias y desastres</v>
      </c>
      <c r="X171" s="249" t="str">
        <f>CONCATENATE(V171,"_",W171)</f>
        <v>004_Servicio de atención a emergencias y desastres</v>
      </c>
      <c r="Y171" s="249" t="str">
        <f>CONCATENATE(U171," ",X171)</f>
        <v>12-Servicio de apoyo   logístico  en eventos operativos y/o emergencias. 004_Servicio de atención a emergencias y desastres</v>
      </c>
      <c r="Z171" s="248" t="str">
        <f>CONCATENATE(P171,Q171,R171,S171,V171)</f>
        <v>O23011745032024025512004</v>
      </c>
      <c r="AA171" s="248" t="str">
        <f>IFERROR(VLOOKUP(Y171,TD!$K$47:$L$65,2,0)," ")</f>
        <v>PM/0131/0112/45030040255</v>
      </c>
      <c r="AB171" s="53" t="s">
        <v>87</v>
      </c>
      <c r="AC171" s="250" t="s">
        <v>204</v>
      </c>
    </row>
    <row r="172" spans="2:29" s="28" customFormat="1" ht="42" x14ac:dyDescent="0.35">
      <c r="B172" s="77">
        <v>20250168</v>
      </c>
      <c r="C172" s="50" t="s">
        <v>209</v>
      </c>
      <c r="D172" s="246" t="s">
        <v>168</v>
      </c>
      <c r="E172" s="51" t="s">
        <v>600</v>
      </c>
      <c r="F172" s="246" t="s">
        <v>763</v>
      </c>
      <c r="G172" s="246" t="s">
        <v>119</v>
      </c>
      <c r="H172" s="93" t="s">
        <v>731</v>
      </c>
      <c r="I172" s="247">
        <v>1</v>
      </c>
      <c r="J172" s="247">
        <v>12</v>
      </c>
      <c r="K172" s="52">
        <v>0</v>
      </c>
      <c r="L172" s="53">
        <v>305000000</v>
      </c>
      <c r="M172" s="246" t="s">
        <v>464</v>
      </c>
      <c r="N172" s="53" t="s">
        <v>95</v>
      </c>
      <c r="O172" s="51" t="s">
        <v>224</v>
      </c>
      <c r="P172" s="248" t="str">
        <f>IFERROR(VLOOKUP(C172,TD!$B$33:$F$37,2,0)," ")</f>
        <v>O230117</v>
      </c>
      <c r="Q172" s="248" t="str">
        <f>IFERROR(VLOOKUP(C172,TD!$B$33:$F$37,3,0)," ")</f>
        <v>4503</v>
      </c>
      <c r="R172" s="248">
        <f>IFERROR(VLOOKUP(C172,TD!$B$33:$F$37,4,0)," ")</f>
        <v>20240255</v>
      </c>
      <c r="S172" s="51" t="s">
        <v>187</v>
      </c>
      <c r="T172" s="248" t="str">
        <f>IFERROR(VLOOKUP(S172,TD!$J$34:$K$44,2,0)," ")</f>
        <v>Servicio de mantenimiento, dotación (HEA´s y equipo menor) y adquisición de vehiculos   especializados para la atención de emergencias.</v>
      </c>
      <c r="U172" s="249" t="str">
        <f>CONCATENATE(S172,"-",T172)</f>
        <v>09-Servicio de mantenimiento, dotación (HEA´s y equipo menor) y adquisición de vehiculos   especializados para la atención de emergencias.</v>
      </c>
      <c r="V172" s="51" t="s">
        <v>232</v>
      </c>
      <c r="W172" s="248" t="str">
        <f>IFERROR(VLOOKUP(V172,TD!$N$34:$O$46,2,0)," ")</f>
        <v>Servicio de atención a emergencias y desastres</v>
      </c>
      <c r="X172" s="249" t="str">
        <f>CONCATENATE(V172,"_",W172)</f>
        <v>004_Servicio de atención a emergencias y desastres</v>
      </c>
      <c r="Y172" s="249" t="str">
        <f>CONCATENATE(U172," ",X172)</f>
        <v>09-Servicio de mantenimiento, dotación (HEA´s y equipo menor) y adquisición de vehiculos   especializados para la atención de emergencias. 004_Servicio de atención a emergencias y desastres</v>
      </c>
      <c r="Z172" s="248" t="str">
        <f>CONCATENATE(P172,Q172,R172,S172,V172)</f>
        <v>O23011745032024025509004</v>
      </c>
      <c r="AA172" s="248" t="str">
        <f>IFERROR(VLOOKUP(Y172,TD!$K$47:$L$65,2,0)," ")</f>
        <v>PM/0131/0109/45030040255</v>
      </c>
      <c r="AB172" s="53" t="s">
        <v>87</v>
      </c>
      <c r="AC172" s="250" t="s">
        <v>204</v>
      </c>
    </row>
    <row r="173" spans="2:29" s="28" customFormat="1" ht="42" x14ac:dyDescent="0.35">
      <c r="B173" s="77">
        <v>20250169</v>
      </c>
      <c r="C173" s="50" t="s">
        <v>209</v>
      </c>
      <c r="D173" s="246" t="s">
        <v>168</v>
      </c>
      <c r="E173" s="51" t="s">
        <v>600</v>
      </c>
      <c r="F173" s="246" t="s">
        <v>498</v>
      </c>
      <c r="G173" s="246" t="s">
        <v>96</v>
      </c>
      <c r="H173" s="93">
        <v>72101509</v>
      </c>
      <c r="I173" s="247">
        <v>2</v>
      </c>
      <c r="J173" s="247">
        <v>12</v>
      </c>
      <c r="K173" s="52">
        <v>0</v>
      </c>
      <c r="L173" s="53">
        <v>120864320</v>
      </c>
      <c r="M173" s="246" t="s">
        <v>464</v>
      </c>
      <c r="N173" s="53" t="s">
        <v>113</v>
      </c>
      <c r="O173" s="51" t="s">
        <v>224</v>
      </c>
      <c r="P173" s="248" t="str">
        <f>IFERROR(VLOOKUP(C173,TD!$B$33:$F$37,2,0)," ")</f>
        <v>O230117</v>
      </c>
      <c r="Q173" s="248" t="str">
        <f>IFERROR(VLOOKUP(C173,TD!$B$33:$F$37,3,0)," ")</f>
        <v>4503</v>
      </c>
      <c r="R173" s="248">
        <f>IFERROR(VLOOKUP(C173,TD!$B$33:$F$37,4,0)," ")</f>
        <v>20240255</v>
      </c>
      <c r="S173" s="51" t="s">
        <v>187</v>
      </c>
      <c r="T173" s="248" t="str">
        <f>IFERROR(VLOOKUP(S173,TD!$J$34:$K$44,2,0)," ")</f>
        <v>Servicio de mantenimiento, dotación (HEA´s y equipo menor) y adquisición de vehiculos   especializados para la atención de emergencias.</v>
      </c>
      <c r="U173" s="249" t="str">
        <f>CONCATENATE(S173,"-",T173)</f>
        <v>09-Servicio de mantenimiento, dotación (HEA´s y equipo menor) y adquisición de vehiculos   especializados para la atención de emergencias.</v>
      </c>
      <c r="V173" s="51" t="s">
        <v>232</v>
      </c>
      <c r="W173" s="248" t="str">
        <f>IFERROR(VLOOKUP(V173,TD!$N$34:$O$46,2,0)," ")</f>
        <v>Servicio de atención a emergencias y desastres</v>
      </c>
      <c r="X173" s="249" t="str">
        <f>CONCATENATE(V173,"_",W173)</f>
        <v>004_Servicio de atención a emergencias y desastres</v>
      </c>
      <c r="Y173" s="249" t="str">
        <f>CONCATENATE(U173," ",X173)</f>
        <v>09-Servicio de mantenimiento, dotación (HEA´s y equipo menor) y adquisición de vehiculos   especializados para la atención de emergencias. 004_Servicio de atención a emergencias y desastres</v>
      </c>
      <c r="Z173" s="248" t="str">
        <f>CONCATENATE(P173,Q173,R173,S173,V173)</f>
        <v>O23011745032024025509004</v>
      </c>
      <c r="AA173" s="248" t="str">
        <f>IFERROR(VLOOKUP(Y173,TD!$K$47:$L$65,2,0)," ")</f>
        <v>PM/0131/0109/45030040255</v>
      </c>
      <c r="AB173" s="53" t="s">
        <v>87</v>
      </c>
      <c r="AC173" s="250" t="s">
        <v>204</v>
      </c>
    </row>
    <row r="174" spans="2:29" s="28" customFormat="1" ht="42" x14ac:dyDescent="0.35">
      <c r="B174" s="77">
        <v>20250170</v>
      </c>
      <c r="C174" s="50" t="s">
        <v>209</v>
      </c>
      <c r="D174" s="246" t="s">
        <v>168</v>
      </c>
      <c r="E174" s="51" t="s">
        <v>600</v>
      </c>
      <c r="F174" s="246" t="s">
        <v>499</v>
      </c>
      <c r="G174" s="246" t="s">
        <v>119</v>
      </c>
      <c r="H174" s="93" t="s">
        <v>500</v>
      </c>
      <c r="I174" s="247">
        <v>3</v>
      </c>
      <c r="J174" s="247">
        <v>12</v>
      </c>
      <c r="K174" s="52">
        <v>0</v>
      </c>
      <c r="L174" s="53">
        <v>100000000</v>
      </c>
      <c r="M174" s="246" t="s">
        <v>464</v>
      </c>
      <c r="N174" s="53" t="s">
        <v>113</v>
      </c>
      <c r="O174" s="51" t="s">
        <v>224</v>
      </c>
      <c r="P174" s="248" t="str">
        <f>IFERROR(VLOOKUP(C174,TD!$B$33:$F$37,2,0)," ")</f>
        <v>O230117</v>
      </c>
      <c r="Q174" s="248" t="str">
        <f>IFERROR(VLOOKUP(C174,TD!$B$33:$F$37,3,0)," ")</f>
        <v>4503</v>
      </c>
      <c r="R174" s="248">
        <f>IFERROR(VLOOKUP(C174,TD!$B$33:$F$37,4,0)," ")</f>
        <v>20240255</v>
      </c>
      <c r="S174" s="51" t="s">
        <v>187</v>
      </c>
      <c r="T174" s="248" t="str">
        <f>IFERROR(VLOOKUP(S174,TD!$J$34:$K$44,2,0)," ")</f>
        <v>Servicio de mantenimiento, dotación (HEA´s y equipo menor) y adquisición de vehiculos   especializados para la atención de emergencias.</v>
      </c>
      <c r="U174" s="249" t="str">
        <f>CONCATENATE(S174,"-",T174)</f>
        <v>09-Servicio de mantenimiento, dotación (HEA´s y equipo menor) y adquisición de vehiculos   especializados para la atención de emergencias.</v>
      </c>
      <c r="V174" s="51" t="s">
        <v>232</v>
      </c>
      <c r="W174" s="248" t="str">
        <f>IFERROR(VLOOKUP(V174,TD!$N$34:$O$46,2,0)," ")</f>
        <v>Servicio de atención a emergencias y desastres</v>
      </c>
      <c r="X174" s="249" t="str">
        <f>CONCATENATE(V174,"_",W174)</f>
        <v>004_Servicio de atención a emergencias y desastres</v>
      </c>
      <c r="Y174" s="249" t="str">
        <f>CONCATENATE(U174," ",X174)</f>
        <v>09-Servicio de mantenimiento, dotación (HEA´s y equipo menor) y adquisición de vehiculos   especializados para la atención de emergencias. 004_Servicio de atención a emergencias y desastres</v>
      </c>
      <c r="Z174" s="248" t="str">
        <f>CONCATENATE(P174,Q174,R174,S174,V174)</f>
        <v>O23011745032024025509004</v>
      </c>
      <c r="AA174" s="248" t="str">
        <f>IFERROR(VLOOKUP(Y174,TD!$K$47:$L$65,2,0)," ")</f>
        <v>PM/0131/0109/45030040255</v>
      </c>
      <c r="AB174" s="53" t="s">
        <v>87</v>
      </c>
      <c r="AC174" s="250" t="s">
        <v>204</v>
      </c>
    </row>
    <row r="175" spans="2:29" s="28" customFormat="1" ht="42" x14ac:dyDescent="0.35">
      <c r="B175" s="77">
        <v>20250171</v>
      </c>
      <c r="C175" s="50" t="s">
        <v>209</v>
      </c>
      <c r="D175" s="246" t="s">
        <v>168</v>
      </c>
      <c r="E175" s="51" t="s">
        <v>600</v>
      </c>
      <c r="F175" s="246" t="s">
        <v>501</v>
      </c>
      <c r="G175" s="246" t="s">
        <v>96</v>
      </c>
      <c r="H175" s="93" t="s">
        <v>934</v>
      </c>
      <c r="I175" s="247">
        <v>6</v>
      </c>
      <c r="J175" s="247">
        <v>9</v>
      </c>
      <c r="K175" s="52">
        <v>12</v>
      </c>
      <c r="L175" s="53">
        <v>95347742</v>
      </c>
      <c r="M175" s="246" t="s">
        <v>464</v>
      </c>
      <c r="N175" s="53" t="s">
        <v>113</v>
      </c>
      <c r="O175" s="51" t="s">
        <v>224</v>
      </c>
      <c r="P175" s="248" t="str">
        <f>IFERROR(VLOOKUP(C175,TD!$B$33:$F$37,2,0)," ")</f>
        <v>O230117</v>
      </c>
      <c r="Q175" s="248" t="str">
        <f>IFERROR(VLOOKUP(C175,TD!$B$33:$F$37,3,0)," ")</f>
        <v>4503</v>
      </c>
      <c r="R175" s="248">
        <f>IFERROR(VLOOKUP(C175,TD!$B$33:$F$37,4,0)," ")</f>
        <v>20240255</v>
      </c>
      <c r="S175" s="51" t="s">
        <v>187</v>
      </c>
      <c r="T175" s="248" t="str">
        <f>IFERROR(VLOOKUP(S175,TD!$J$34:$K$44,2,0)," ")</f>
        <v>Servicio de mantenimiento, dotación (HEA´s y equipo menor) y adquisición de vehiculos   especializados para la atención de emergencias.</v>
      </c>
      <c r="U175" s="249" t="str">
        <f>CONCATENATE(S175,"-",T175)</f>
        <v>09-Servicio de mantenimiento, dotación (HEA´s y equipo menor) y adquisición de vehiculos   especializados para la atención de emergencias.</v>
      </c>
      <c r="V175" s="51" t="s">
        <v>232</v>
      </c>
      <c r="W175" s="248" t="str">
        <f>IFERROR(VLOOKUP(V175,TD!$N$34:$O$46,2,0)," ")</f>
        <v>Servicio de atención a emergencias y desastres</v>
      </c>
      <c r="X175" s="249" t="str">
        <f>CONCATENATE(V175,"_",W175)</f>
        <v>004_Servicio de atención a emergencias y desastres</v>
      </c>
      <c r="Y175" s="249" t="str">
        <f>CONCATENATE(U175," ",X175)</f>
        <v>09-Servicio de mantenimiento, dotación (HEA´s y equipo menor) y adquisición de vehiculos   especializados para la atención de emergencias. 004_Servicio de atención a emergencias y desastres</v>
      </c>
      <c r="Z175" s="248" t="str">
        <f>CONCATENATE(P175,Q175,R175,S175,V175)</f>
        <v>O23011745032024025509004</v>
      </c>
      <c r="AA175" s="248" t="str">
        <f>IFERROR(VLOOKUP(Y175,TD!$K$47:$L$65,2,0)," ")</f>
        <v>PM/0131/0109/45030040255</v>
      </c>
      <c r="AB175" s="53" t="s">
        <v>147</v>
      </c>
      <c r="AC175" s="250" t="s">
        <v>204</v>
      </c>
    </row>
    <row r="176" spans="2:29" s="28" customFormat="1" ht="70" x14ac:dyDescent="0.35">
      <c r="B176" s="77">
        <v>20250174</v>
      </c>
      <c r="C176" s="50" t="s">
        <v>209</v>
      </c>
      <c r="D176" s="246" t="s">
        <v>168</v>
      </c>
      <c r="E176" s="51" t="s">
        <v>600</v>
      </c>
      <c r="F176" s="246" t="s">
        <v>732</v>
      </c>
      <c r="G176" s="246" t="s">
        <v>156</v>
      </c>
      <c r="H176" s="93">
        <v>80111600</v>
      </c>
      <c r="I176" s="247">
        <v>2</v>
      </c>
      <c r="J176" s="247">
        <v>9</v>
      </c>
      <c r="K176" s="52">
        <v>0</v>
      </c>
      <c r="L176" s="53">
        <v>28800000</v>
      </c>
      <c r="M176" s="246" t="s">
        <v>464</v>
      </c>
      <c r="N176" s="53" t="s">
        <v>113</v>
      </c>
      <c r="O176" s="51" t="s">
        <v>224</v>
      </c>
      <c r="P176" s="248" t="str">
        <f>IFERROR(VLOOKUP(C176,TD!$B$33:$F$37,2,0)," ")</f>
        <v>O230117</v>
      </c>
      <c r="Q176" s="248" t="str">
        <f>IFERROR(VLOOKUP(C176,TD!$B$33:$F$37,3,0)," ")</f>
        <v>4503</v>
      </c>
      <c r="R176" s="248">
        <f>IFERROR(VLOOKUP(C176,TD!$B$33:$F$37,4,0)," ")</f>
        <v>20240255</v>
      </c>
      <c r="S176" s="51" t="s">
        <v>187</v>
      </c>
      <c r="T176" s="248" t="str">
        <f>IFERROR(VLOOKUP(S176,TD!$J$34:$K$44,2,0)," ")</f>
        <v>Servicio de mantenimiento, dotación (HEA´s y equipo menor) y adquisición de vehiculos   especializados para la atención de emergencias.</v>
      </c>
      <c r="U176" s="249" t="str">
        <f>CONCATENATE(S176,"-",T176)</f>
        <v>09-Servicio de mantenimiento, dotación (HEA´s y equipo menor) y adquisición de vehiculos   especializados para la atención de emergencias.</v>
      </c>
      <c r="V176" s="51" t="s">
        <v>232</v>
      </c>
      <c r="W176" s="248" t="str">
        <f>IFERROR(VLOOKUP(V176,TD!$N$34:$O$46,2,0)," ")</f>
        <v>Servicio de atención a emergencias y desastres</v>
      </c>
      <c r="X176" s="249" t="str">
        <f>CONCATENATE(V176,"_",W176)</f>
        <v>004_Servicio de atención a emergencias y desastres</v>
      </c>
      <c r="Y176" s="249" t="str">
        <f>CONCATENATE(U176," ",X176)</f>
        <v>09-Servicio de mantenimiento, dotación (HEA´s y equipo menor) y adquisición de vehiculos   especializados para la atención de emergencias. 004_Servicio de atención a emergencias y desastres</v>
      </c>
      <c r="Z176" s="248" t="str">
        <f>CONCATENATE(P176,Q176,R176,S176,V176)</f>
        <v>O23011745032024025509004</v>
      </c>
      <c r="AA176" s="248" t="str">
        <f>IFERROR(VLOOKUP(Y176,TD!$K$47:$L$65,2,0)," ")</f>
        <v>PM/0131/0109/45030040255</v>
      </c>
      <c r="AB176" s="53" t="s">
        <v>138</v>
      </c>
      <c r="AC176" s="250" t="s">
        <v>204</v>
      </c>
    </row>
    <row r="177" spans="2:29" s="28" customFormat="1" ht="56" x14ac:dyDescent="0.35">
      <c r="B177" s="77">
        <v>20250175</v>
      </c>
      <c r="C177" s="50" t="s">
        <v>209</v>
      </c>
      <c r="D177" s="246" t="s">
        <v>168</v>
      </c>
      <c r="E177" s="51" t="s">
        <v>600</v>
      </c>
      <c r="F177" s="246" t="s">
        <v>733</v>
      </c>
      <c r="G177" s="246" t="s">
        <v>155</v>
      </c>
      <c r="H177" s="93">
        <v>80111600</v>
      </c>
      <c r="I177" s="247">
        <v>2</v>
      </c>
      <c r="J177" s="247">
        <v>10</v>
      </c>
      <c r="K177" s="52">
        <v>0</v>
      </c>
      <c r="L177" s="53">
        <v>40000000</v>
      </c>
      <c r="M177" s="246" t="s">
        <v>464</v>
      </c>
      <c r="N177" s="53" t="s">
        <v>113</v>
      </c>
      <c r="O177" s="51" t="s">
        <v>224</v>
      </c>
      <c r="P177" s="248" t="str">
        <f>IFERROR(VLOOKUP(C177,TD!$B$33:$F$37,2,0)," ")</f>
        <v>O230117</v>
      </c>
      <c r="Q177" s="248" t="str">
        <f>IFERROR(VLOOKUP(C177,TD!$B$33:$F$37,3,0)," ")</f>
        <v>4503</v>
      </c>
      <c r="R177" s="248">
        <f>IFERROR(VLOOKUP(C177,TD!$B$33:$F$37,4,0)," ")</f>
        <v>20240255</v>
      </c>
      <c r="S177" s="51" t="s">
        <v>191</v>
      </c>
      <c r="T177" s="248" t="str">
        <f>IFERROR(VLOOKUP(S177,TD!$J$34:$K$44,2,0)," ")</f>
        <v>Servicio de apoyo   logístico  en eventos operativos y/o emergencias.</v>
      </c>
      <c r="U177" s="249" t="str">
        <f>CONCATENATE(S177,"-",T177)</f>
        <v>12-Servicio de apoyo   logístico  en eventos operativos y/o emergencias.</v>
      </c>
      <c r="V177" s="51" t="s">
        <v>232</v>
      </c>
      <c r="W177" s="248" t="str">
        <f>IFERROR(VLOOKUP(V177,TD!$N$34:$O$46,2,0)," ")</f>
        <v>Servicio de atención a emergencias y desastres</v>
      </c>
      <c r="X177" s="249" t="str">
        <f>CONCATENATE(V177,"_",W177)</f>
        <v>004_Servicio de atención a emergencias y desastres</v>
      </c>
      <c r="Y177" s="249" t="str">
        <f>CONCATENATE(U177," ",X177)</f>
        <v>12-Servicio de apoyo   logístico  en eventos operativos y/o emergencias. 004_Servicio de atención a emergencias y desastres</v>
      </c>
      <c r="Z177" s="248" t="str">
        <f>CONCATENATE(P177,Q177,R177,S177,V177)</f>
        <v>O23011745032024025512004</v>
      </c>
      <c r="AA177" s="248" t="str">
        <f>IFERROR(VLOOKUP(Y177,TD!$K$47:$L$65,2,0)," ")</f>
        <v>PM/0131/0112/45030040255</v>
      </c>
      <c r="AB177" s="53" t="s">
        <v>138</v>
      </c>
      <c r="AC177" s="250" t="s">
        <v>204</v>
      </c>
    </row>
    <row r="178" spans="2:29" s="28" customFormat="1" ht="56" x14ac:dyDescent="0.35">
      <c r="B178" s="77">
        <v>20250176</v>
      </c>
      <c r="C178" s="50" t="s">
        <v>209</v>
      </c>
      <c r="D178" s="246" t="s">
        <v>168</v>
      </c>
      <c r="E178" s="51" t="s">
        <v>600</v>
      </c>
      <c r="F178" s="246" t="s">
        <v>734</v>
      </c>
      <c r="G178" s="246" t="s">
        <v>155</v>
      </c>
      <c r="H178" s="93">
        <v>80111600</v>
      </c>
      <c r="I178" s="247">
        <v>2</v>
      </c>
      <c r="J178" s="247">
        <v>8</v>
      </c>
      <c r="K178" s="52">
        <v>0</v>
      </c>
      <c r="L178" s="53">
        <v>64000000</v>
      </c>
      <c r="M178" s="246" t="s">
        <v>464</v>
      </c>
      <c r="N178" s="53" t="s">
        <v>113</v>
      </c>
      <c r="O178" s="51" t="s">
        <v>224</v>
      </c>
      <c r="P178" s="248" t="str">
        <f>IFERROR(VLOOKUP(C178,TD!$B$33:$F$37,2,0)," ")</f>
        <v>O230117</v>
      </c>
      <c r="Q178" s="248" t="str">
        <f>IFERROR(VLOOKUP(C178,TD!$B$33:$F$37,3,0)," ")</f>
        <v>4503</v>
      </c>
      <c r="R178" s="248">
        <f>IFERROR(VLOOKUP(C178,TD!$B$33:$F$37,4,0)," ")</f>
        <v>20240255</v>
      </c>
      <c r="S178" s="51" t="s">
        <v>191</v>
      </c>
      <c r="T178" s="248" t="str">
        <f>IFERROR(VLOOKUP(S178,TD!$J$34:$K$44,2,0)," ")</f>
        <v>Servicio de apoyo   logístico  en eventos operativos y/o emergencias.</v>
      </c>
      <c r="U178" s="249" t="str">
        <f>CONCATENATE(S178,"-",T178)</f>
        <v>12-Servicio de apoyo   logístico  en eventos operativos y/o emergencias.</v>
      </c>
      <c r="V178" s="51" t="s">
        <v>232</v>
      </c>
      <c r="W178" s="248" t="str">
        <f>IFERROR(VLOOKUP(V178,TD!$N$34:$O$46,2,0)," ")</f>
        <v>Servicio de atención a emergencias y desastres</v>
      </c>
      <c r="X178" s="249" t="str">
        <f>CONCATENATE(V178,"_",W178)</f>
        <v>004_Servicio de atención a emergencias y desastres</v>
      </c>
      <c r="Y178" s="249" t="str">
        <f>CONCATENATE(U178," ",X178)</f>
        <v>12-Servicio de apoyo   logístico  en eventos operativos y/o emergencias. 004_Servicio de atención a emergencias y desastres</v>
      </c>
      <c r="Z178" s="248" t="str">
        <f>CONCATENATE(P178,Q178,R178,S178,V178)</f>
        <v>O23011745032024025512004</v>
      </c>
      <c r="AA178" s="248" t="str">
        <f>IFERROR(VLOOKUP(Y178,TD!$K$47:$L$65,2,0)," ")</f>
        <v>PM/0131/0112/45030040255</v>
      </c>
      <c r="AB178" s="53" t="s">
        <v>120</v>
      </c>
      <c r="AC178" s="250" t="s">
        <v>204</v>
      </c>
    </row>
    <row r="179" spans="2:29" s="28" customFormat="1" ht="56" x14ac:dyDescent="0.35">
      <c r="B179" s="77">
        <v>20250177</v>
      </c>
      <c r="C179" s="50" t="s">
        <v>209</v>
      </c>
      <c r="D179" s="246" t="s">
        <v>168</v>
      </c>
      <c r="E179" s="51" t="s">
        <v>600</v>
      </c>
      <c r="F179" s="246" t="s">
        <v>735</v>
      </c>
      <c r="G179" s="246" t="s">
        <v>156</v>
      </c>
      <c r="H179" s="93">
        <v>80111600</v>
      </c>
      <c r="I179" s="247">
        <v>2</v>
      </c>
      <c r="J179" s="247">
        <v>10</v>
      </c>
      <c r="K179" s="52">
        <v>0</v>
      </c>
      <c r="L179" s="53">
        <v>34200000</v>
      </c>
      <c r="M179" s="246" t="s">
        <v>464</v>
      </c>
      <c r="N179" s="53" t="s">
        <v>113</v>
      </c>
      <c r="O179" s="51" t="s">
        <v>224</v>
      </c>
      <c r="P179" s="248" t="str">
        <f>IFERROR(VLOOKUP(C179,TD!$B$33:$F$37,2,0)," ")</f>
        <v>O230117</v>
      </c>
      <c r="Q179" s="248" t="str">
        <f>IFERROR(VLOOKUP(C179,TD!$B$33:$F$37,3,0)," ")</f>
        <v>4503</v>
      </c>
      <c r="R179" s="248">
        <f>IFERROR(VLOOKUP(C179,TD!$B$33:$F$37,4,0)," ")</f>
        <v>20240255</v>
      </c>
      <c r="S179" s="51" t="s">
        <v>191</v>
      </c>
      <c r="T179" s="248" t="str">
        <f>IFERROR(VLOOKUP(S179,TD!$J$34:$K$44,2,0)," ")</f>
        <v>Servicio de apoyo   logístico  en eventos operativos y/o emergencias.</v>
      </c>
      <c r="U179" s="249" t="str">
        <f>CONCATENATE(S179,"-",T179)</f>
        <v>12-Servicio de apoyo   logístico  en eventos operativos y/o emergencias.</v>
      </c>
      <c r="V179" s="51" t="s">
        <v>232</v>
      </c>
      <c r="W179" s="248" t="str">
        <f>IFERROR(VLOOKUP(V179,TD!$N$34:$O$46,2,0)," ")</f>
        <v>Servicio de atención a emergencias y desastres</v>
      </c>
      <c r="X179" s="249" t="str">
        <f>CONCATENATE(V179,"_",W179)</f>
        <v>004_Servicio de atención a emergencias y desastres</v>
      </c>
      <c r="Y179" s="249" t="str">
        <f>CONCATENATE(U179," ",X179)</f>
        <v>12-Servicio de apoyo   logístico  en eventos operativos y/o emergencias. 004_Servicio de atención a emergencias y desastres</v>
      </c>
      <c r="Z179" s="248" t="str">
        <f>CONCATENATE(P179,Q179,R179,S179,V179)</f>
        <v>O23011745032024025512004</v>
      </c>
      <c r="AA179" s="248" t="str">
        <f>IFERROR(VLOOKUP(Y179,TD!$K$47:$L$65,2,0)," ")</f>
        <v>PM/0131/0112/45030040255</v>
      </c>
      <c r="AB179" s="53" t="s">
        <v>138</v>
      </c>
      <c r="AC179" s="250" t="s">
        <v>204</v>
      </c>
    </row>
    <row r="180" spans="2:29" s="28" customFormat="1" ht="56" x14ac:dyDescent="0.35">
      <c r="B180" s="77">
        <v>20250178</v>
      </c>
      <c r="C180" s="50" t="s">
        <v>209</v>
      </c>
      <c r="D180" s="246" t="s">
        <v>168</v>
      </c>
      <c r="E180" s="51" t="s">
        <v>600</v>
      </c>
      <c r="F180" s="246" t="s">
        <v>736</v>
      </c>
      <c r="G180" s="246" t="s">
        <v>155</v>
      </c>
      <c r="H180" s="93">
        <v>80111600</v>
      </c>
      <c r="I180" s="247">
        <v>3</v>
      </c>
      <c r="J180" s="247">
        <v>6</v>
      </c>
      <c r="K180" s="52">
        <v>0</v>
      </c>
      <c r="L180" s="53">
        <v>27000000</v>
      </c>
      <c r="M180" s="246" t="s">
        <v>464</v>
      </c>
      <c r="N180" s="53" t="s">
        <v>113</v>
      </c>
      <c r="O180" s="51" t="s">
        <v>224</v>
      </c>
      <c r="P180" s="248" t="str">
        <f>IFERROR(VLOOKUP(C180,TD!$B$33:$F$37,2,0)," ")</f>
        <v>O230117</v>
      </c>
      <c r="Q180" s="248" t="str">
        <f>IFERROR(VLOOKUP(C180,TD!$B$33:$F$37,3,0)," ")</f>
        <v>4503</v>
      </c>
      <c r="R180" s="248">
        <f>IFERROR(VLOOKUP(C180,TD!$B$33:$F$37,4,0)," ")</f>
        <v>20240255</v>
      </c>
      <c r="S180" s="51" t="s">
        <v>191</v>
      </c>
      <c r="T180" s="248" t="str">
        <f>IFERROR(VLOOKUP(S180,TD!$J$34:$K$44,2,0)," ")</f>
        <v>Servicio de apoyo   logístico  en eventos operativos y/o emergencias.</v>
      </c>
      <c r="U180" s="249" t="str">
        <f>CONCATENATE(S180,"-",T180)</f>
        <v>12-Servicio de apoyo   logístico  en eventos operativos y/o emergencias.</v>
      </c>
      <c r="V180" s="51" t="s">
        <v>232</v>
      </c>
      <c r="W180" s="248" t="str">
        <f>IFERROR(VLOOKUP(V180,TD!$N$34:$O$46,2,0)," ")</f>
        <v>Servicio de atención a emergencias y desastres</v>
      </c>
      <c r="X180" s="249" t="str">
        <f>CONCATENATE(V180,"_",W180)</f>
        <v>004_Servicio de atención a emergencias y desastres</v>
      </c>
      <c r="Y180" s="249" t="str">
        <f>CONCATENATE(U180," ",X180)</f>
        <v>12-Servicio de apoyo   logístico  en eventos operativos y/o emergencias. 004_Servicio de atención a emergencias y desastres</v>
      </c>
      <c r="Z180" s="248" t="str">
        <f>CONCATENATE(P180,Q180,R180,S180,V180)</f>
        <v>O23011745032024025512004</v>
      </c>
      <c r="AA180" s="248" t="str">
        <f>IFERROR(VLOOKUP(Y180,TD!$K$47:$L$65,2,0)," ")</f>
        <v>PM/0131/0112/45030040255</v>
      </c>
      <c r="AB180" s="53" t="s">
        <v>138</v>
      </c>
      <c r="AC180" s="250" t="s">
        <v>204</v>
      </c>
    </row>
    <row r="181" spans="2:29" s="28" customFormat="1" ht="42" x14ac:dyDescent="0.35">
      <c r="B181" s="77">
        <v>20250179</v>
      </c>
      <c r="C181" s="50" t="s">
        <v>209</v>
      </c>
      <c r="D181" s="246" t="s">
        <v>168</v>
      </c>
      <c r="E181" s="51" t="s">
        <v>600</v>
      </c>
      <c r="F181" s="246" t="s">
        <v>737</v>
      </c>
      <c r="G181" s="246" t="s">
        <v>156</v>
      </c>
      <c r="H181" s="93">
        <v>80111600</v>
      </c>
      <c r="I181" s="247">
        <v>2</v>
      </c>
      <c r="J181" s="247">
        <v>9</v>
      </c>
      <c r="K181" s="52">
        <v>0</v>
      </c>
      <c r="L181" s="53">
        <v>28800000</v>
      </c>
      <c r="M181" s="246" t="s">
        <v>464</v>
      </c>
      <c r="N181" s="53" t="s">
        <v>113</v>
      </c>
      <c r="O181" s="51" t="s">
        <v>224</v>
      </c>
      <c r="P181" s="248" t="str">
        <f>IFERROR(VLOOKUP(C181,TD!$B$33:$F$37,2,0)," ")</f>
        <v>O230117</v>
      </c>
      <c r="Q181" s="248" t="str">
        <f>IFERROR(VLOOKUP(C181,TD!$B$33:$F$37,3,0)," ")</f>
        <v>4503</v>
      </c>
      <c r="R181" s="248">
        <f>IFERROR(VLOOKUP(C181,TD!$B$33:$F$37,4,0)," ")</f>
        <v>20240255</v>
      </c>
      <c r="S181" s="51" t="s">
        <v>191</v>
      </c>
      <c r="T181" s="248" t="str">
        <f>IFERROR(VLOOKUP(S181,TD!$J$34:$K$44,2,0)," ")</f>
        <v>Servicio de apoyo   logístico  en eventos operativos y/o emergencias.</v>
      </c>
      <c r="U181" s="249" t="str">
        <f>CONCATENATE(S181,"-",T181)</f>
        <v>12-Servicio de apoyo   logístico  en eventos operativos y/o emergencias.</v>
      </c>
      <c r="V181" s="51" t="s">
        <v>232</v>
      </c>
      <c r="W181" s="248" t="str">
        <f>IFERROR(VLOOKUP(V181,TD!$N$34:$O$46,2,0)," ")</f>
        <v>Servicio de atención a emergencias y desastres</v>
      </c>
      <c r="X181" s="249" t="str">
        <f>CONCATENATE(V181,"_",W181)</f>
        <v>004_Servicio de atención a emergencias y desastres</v>
      </c>
      <c r="Y181" s="249" t="str">
        <f>CONCATENATE(U181," ",X181)</f>
        <v>12-Servicio de apoyo   logístico  en eventos operativos y/o emergencias. 004_Servicio de atención a emergencias y desastres</v>
      </c>
      <c r="Z181" s="248" t="str">
        <f>CONCATENATE(P181,Q181,R181,S181,V181)</f>
        <v>O23011745032024025512004</v>
      </c>
      <c r="AA181" s="248" t="str">
        <f>IFERROR(VLOOKUP(Y181,TD!$K$47:$L$65,2,0)," ")</f>
        <v>PM/0131/0112/45030040255</v>
      </c>
      <c r="AB181" s="53" t="s">
        <v>138</v>
      </c>
      <c r="AC181" s="250" t="s">
        <v>204</v>
      </c>
    </row>
    <row r="182" spans="2:29" s="28" customFormat="1" ht="42" x14ac:dyDescent="0.35">
      <c r="B182" s="77">
        <v>20250180</v>
      </c>
      <c r="C182" s="50" t="s">
        <v>209</v>
      </c>
      <c r="D182" s="246" t="s">
        <v>168</v>
      </c>
      <c r="E182" s="51" t="s">
        <v>600</v>
      </c>
      <c r="F182" s="246" t="s">
        <v>738</v>
      </c>
      <c r="G182" s="246" t="s">
        <v>155</v>
      </c>
      <c r="H182" s="93">
        <v>80111600</v>
      </c>
      <c r="I182" s="247">
        <v>2</v>
      </c>
      <c r="J182" s="247">
        <v>9</v>
      </c>
      <c r="K182" s="52">
        <v>0</v>
      </c>
      <c r="L182" s="53">
        <v>54000000</v>
      </c>
      <c r="M182" s="246" t="s">
        <v>464</v>
      </c>
      <c r="N182" s="53" t="s">
        <v>113</v>
      </c>
      <c r="O182" s="51" t="s">
        <v>224</v>
      </c>
      <c r="P182" s="248" t="str">
        <f>IFERROR(VLOOKUP(C182,TD!$B$33:$F$37,2,0)," ")</f>
        <v>O230117</v>
      </c>
      <c r="Q182" s="248" t="str">
        <f>IFERROR(VLOOKUP(C182,TD!$B$33:$F$37,3,0)," ")</f>
        <v>4503</v>
      </c>
      <c r="R182" s="248">
        <f>IFERROR(VLOOKUP(C182,TD!$B$33:$F$37,4,0)," ")</f>
        <v>20240255</v>
      </c>
      <c r="S182" s="51" t="s">
        <v>191</v>
      </c>
      <c r="T182" s="248" t="str">
        <f>IFERROR(VLOOKUP(S182,TD!$J$34:$K$44,2,0)," ")</f>
        <v>Servicio de apoyo   logístico  en eventos operativos y/o emergencias.</v>
      </c>
      <c r="U182" s="249" t="str">
        <f>CONCATENATE(S182,"-",T182)</f>
        <v>12-Servicio de apoyo   logístico  en eventos operativos y/o emergencias.</v>
      </c>
      <c r="V182" s="51" t="s">
        <v>232</v>
      </c>
      <c r="W182" s="248" t="str">
        <f>IFERROR(VLOOKUP(V182,TD!$N$34:$O$46,2,0)," ")</f>
        <v>Servicio de atención a emergencias y desastres</v>
      </c>
      <c r="X182" s="249" t="str">
        <f>CONCATENATE(V182,"_",W182)</f>
        <v>004_Servicio de atención a emergencias y desastres</v>
      </c>
      <c r="Y182" s="249" t="str">
        <f>CONCATENATE(U182," ",X182)</f>
        <v>12-Servicio de apoyo   logístico  en eventos operativos y/o emergencias. 004_Servicio de atención a emergencias y desastres</v>
      </c>
      <c r="Z182" s="248" t="str">
        <f>CONCATENATE(P182,Q182,R182,S182,V182)</f>
        <v>O23011745032024025512004</v>
      </c>
      <c r="AA182" s="248" t="str">
        <f>IFERROR(VLOOKUP(Y182,TD!$K$47:$L$65,2,0)," ")</f>
        <v>PM/0131/0112/45030040255</v>
      </c>
      <c r="AB182" s="53" t="s">
        <v>138</v>
      </c>
      <c r="AC182" s="250" t="s">
        <v>204</v>
      </c>
    </row>
    <row r="183" spans="2:29" s="28" customFormat="1" ht="56" x14ac:dyDescent="0.35">
      <c r="B183" s="77">
        <v>20250181</v>
      </c>
      <c r="C183" s="50" t="s">
        <v>209</v>
      </c>
      <c r="D183" s="246" t="s">
        <v>168</v>
      </c>
      <c r="E183" s="51" t="s">
        <v>600</v>
      </c>
      <c r="F183" s="246" t="s">
        <v>739</v>
      </c>
      <c r="G183" s="246" t="s">
        <v>155</v>
      </c>
      <c r="H183" s="93">
        <v>80111600</v>
      </c>
      <c r="I183" s="247">
        <v>2</v>
      </c>
      <c r="J183" s="247">
        <v>9</v>
      </c>
      <c r="K183" s="52">
        <v>0</v>
      </c>
      <c r="L183" s="53">
        <v>49500000</v>
      </c>
      <c r="M183" s="246" t="s">
        <v>464</v>
      </c>
      <c r="N183" s="53" t="s">
        <v>113</v>
      </c>
      <c r="O183" s="51" t="s">
        <v>224</v>
      </c>
      <c r="P183" s="248" t="str">
        <f>IFERROR(VLOOKUP(C183,TD!$B$33:$F$37,2,0)," ")</f>
        <v>O230117</v>
      </c>
      <c r="Q183" s="248" t="str">
        <f>IFERROR(VLOOKUP(C183,TD!$B$33:$F$37,3,0)," ")</f>
        <v>4503</v>
      </c>
      <c r="R183" s="248">
        <f>IFERROR(VLOOKUP(C183,TD!$B$33:$F$37,4,0)," ")</f>
        <v>20240255</v>
      </c>
      <c r="S183" s="51" t="s">
        <v>191</v>
      </c>
      <c r="T183" s="248" t="str">
        <f>IFERROR(VLOOKUP(S183,TD!$J$34:$K$44,2,0)," ")</f>
        <v>Servicio de apoyo   logístico  en eventos operativos y/o emergencias.</v>
      </c>
      <c r="U183" s="249" t="str">
        <f>CONCATENATE(S183,"-",T183)</f>
        <v>12-Servicio de apoyo   logístico  en eventos operativos y/o emergencias.</v>
      </c>
      <c r="V183" s="51" t="s">
        <v>232</v>
      </c>
      <c r="W183" s="248" t="str">
        <f>IFERROR(VLOOKUP(V183,TD!$N$34:$O$46,2,0)," ")</f>
        <v>Servicio de atención a emergencias y desastres</v>
      </c>
      <c r="X183" s="249" t="str">
        <f>CONCATENATE(V183,"_",W183)</f>
        <v>004_Servicio de atención a emergencias y desastres</v>
      </c>
      <c r="Y183" s="249" t="str">
        <f>CONCATENATE(U183," ",X183)</f>
        <v>12-Servicio de apoyo   logístico  en eventos operativos y/o emergencias. 004_Servicio de atención a emergencias y desastres</v>
      </c>
      <c r="Z183" s="248" t="str">
        <f>CONCATENATE(P183,Q183,R183,S183,V183)</f>
        <v>O23011745032024025512004</v>
      </c>
      <c r="AA183" s="248" t="str">
        <f>IFERROR(VLOOKUP(Y183,TD!$K$47:$L$65,2,0)," ")</f>
        <v>PM/0131/0112/45030040255</v>
      </c>
      <c r="AB183" s="53" t="s">
        <v>138</v>
      </c>
      <c r="AC183" s="250" t="s">
        <v>204</v>
      </c>
    </row>
    <row r="184" spans="2:29" s="28" customFormat="1" ht="56" x14ac:dyDescent="0.35">
      <c r="B184" s="77">
        <v>20250182</v>
      </c>
      <c r="C184" s="50" t="s">
        <v>209</v>
      </c>
      <c r="D184" s="246" t="s">
        <v>168</v>
      </c>
      <c r="E184" s="51" t="s">
        <v>600</v>
      </c>
      <c r="F184" s="246" t="s">
        <v>732</v>
      </c>
      <c r="G184" s="246" t="s">
        <v>156</v>
      </c>
      <c r="H184" s="93">
        <v>80111600</v>
      </c>
      <c r="I184" s="247">
        <v>2</v>
      </c>
      <c r="J184" s="247">
        <v>10</v>
      </c>
      <c r="K184" s="52">
        <v>0</v>
      </c>
      <c r="L184" s="53">
        <v>28800000</v>
      </c>
      <c r="M184" s="246" t="s">
        <v>464</v>
      </c>
      <c r="N184" s="53" t="s">
        <v>113</v>
      </c>
      <c r="O184" s="51" t="s">
        <v>224</v>
      </c>
      <c r="P184" s="248" t="str">
        <f>IFERROR(VLOOKUP(C184,TD!$B$33:$F$37,2,0)," ")</f>
        <v>O230117</v>
      </c>
      <c r="Q184" s="248" t="str">
        <f>IFERROR(VLOOKUP(C184,TD!$B$33:$F$37,3,0)," ")</f>
        <v>4503</v>
      </c>
      <c r="R184" s="248">
        <f>IFERROR(VLOOKUP(C184,TD!$B$33:$F$37,4,0)," ")</f>
        <v>20240255</v>
      </c>
      <c r="S184" s="51" t="s">
        <v>187</v>
      </c>
      <c r="T184" s="248" t="str">
        <f>IFERROR(VLOOKUP(S184,TD!$J$34:$K$44,2,0)," ")</f>
        <v>Servicio de mantenimiento, dotación (HEA´s y equipo menor) y adquisición de vehiculos   especializados para la atención de emergencias.</v>
      </c>
      <c r="U184" s="249" t="str">
        <f>CONCATENATE(S184,"-",T184)</f>
        <v>09-Servicio de mantenimiento, dotación (HEA´s y equipo menor) y adquisición de vehiculos   especializados para la atención de emergencias.</v>
      </c>
      <c r="V184" s="51" t="s">
        <v>232</v>
      </c>
      <c r="W184" s="248" t="str">
        <f>IFERROR(VLOOKUP(V184,TD!$N$34:$O$46,2,0)," ")</f>
        <v>Servicio de atención a emergencias y desastres</v>
      </c>
      <c r="X184" s="249" t="str">
        <f>CONCATENATE(V184,"_",W184)</f>
        <v>004_Servicio de atención a emergencias y desastres</v>
      </c>
      <c r="Y184" s="249" t="str">
        <f>CONCATENATE(U184," ",X184)</f>
        <v>09-Servicio de mantenimiento, dotación (HEA´s y equipo menor) y adquisición de vehiculos   especializados para la atención de emergencias. 004_Servicio de atención a emergencias y desastres</v>
      </c>
      <c r="Z184" s="248" t="str">
        <f>CONCATENATE(P184,Q184,R184,S184,V184)</f>
        <v>O23011745032024025509004</v>
      </c>
      <c r="AA184" s="248" t="str">
        <f>IFERROR(VLOOKUP(Y184,TD!$K$47:$L$65,2,0)," ")</f>
        <v>PM/0131/0109/45030040255</v>
      </c>
      <c r="AB184" s="53" t="s">
        <v>138</v>
      </c>
      <c r="AC184" s="250" t="s">
        <v>204</v>
      </c>
    </row>
    <row r="185" spans="2:29" s="28" customFormat="1" ht="56" x14ac:dyDescent="0.35">
      <c r="B185" s="77">
        <v>20250183</v>
      </c>
      <c r="C185" s="50" t="s">
        <v>209</v>
      </c>
      <c r="D185" s="246" t="s">
        <v>168</v>
      </c>
      <c r="E185" s="51" t="s">
        <v>600</v>
      </c>
      <c r="F185" s="246" t="s">
        <v>740</v>
      </c>
      <c r="G185" s="246" t="s">
        <v>155</v>
      </c>
      <c r="H185" s="93">
        <v>80111600</v>
      </c>
      <c r="I185" s="247">
        <v>2</v>
      </c>
      <c r="J185" s="247">
        <v>9</v>
      </c>
      <c r="K185" s="52">
        <v>0</v>
      </c>
      <c r="L185" s="53">
        <v>45000000</v>
      </c>
      <c r="M185" s="246" t="s">
        <v>464</v>
      </c>
      <c r="N185" s="53" t="s">
        <v>113</v>
      </c>
      <c r="O185" s="51" t="s">
        <v>224</v>
      </c>
      <c r="P185" s="248" t="str">
        <f>IFERROR(VLOOKUP(C185,TD!$B$33:$F$37,2,0)," ")</f>
        <v>O230117</v>
      </c>
      <c r="Q185" s="248" t="str">
        <f>IFERROR(VLOOKUP(C185,TD!$B$33:$F$37,3,0)," ")</f>
        <v>4503</v>
      </c>
      <c r="R185" s="248">
        <f>IFERROR(VLOOKUP(C185,TD!$B$33:$F$37,4,0)," ")</f>
        <v>20240255</v>
      </c>
      <c r="S185" s="51" t="s">
        <v>191</v>
      </c>
      <c r="T185" s="248" t="str">
        <f>IFERROR(VLOOKUP(S185,TD!$J$34:$K$44,2,0)," ")</f>
        <v>Servicio de apoyo   logístico  en eventos operativos y/o emergencias.</v>
      </c>
      <c r="U185" s="249" t="str">
        <f>CONCATENATE(S185,"-",T185)</f>
        <v>12-Servicio de apoyo   logístico  en eventos operativos y/o emergencias.</v>
      </c>
      <c r="V185" s="51" t="s">
        <v>232</v>
      </c>
      <c r="W185" s="248" t="str">
        <f>IFERROR(VLOOKUP(V185,TD!$N$34:$O$46,2,0)," ")</f>
        <v>Servicio de atención a emergencias y desastres</v>
      </c>
      <c r="X185" s="249" t="str">
        <f>CONCATENATE(V185,"_",W185)</f>
        <v>004_Servicio de atención a emergencias y desastres</v>
      </c>
      <c r="Y185" s="249" t="str">
        <f>CONCATENATE(U185," ",X185)</f>
        <v>12-Servicio de apoyo   logístico  en eventos operativos y/o emergencias. 004_Servicio de atención a emergencias y desastres</v>
      </c>
      <c r="Z185" s="248" t="str">
        <f>CONCATENATE(P185,Q185,R185,S185,V185)</f>
        <v>O23011745032024025512004</v>
      </c>
      <c r="AA185" s="248" t="str">
        <f>IFERROR(VLOOKUP(Y185,TD!$K$47:$L$65,2,0)," ")</f>
        <v>PM/0131/0112/45030040255</v>
      </c>
      <c r="AB185" s="53" t="s">
        <v>138</v>
      </c>
      <c r="AC185" s="250" t="s">
        <v>204</v>
      </c>
    </row>
    <row r="186" spans="2:29" s="28" customFormat="1" ht="56" x14ac:dyDescent="0.35">
      <c r="B186" s="77">
        <v>20250184</v>
      </c>
      <c r="C186" s="50" t="s">
        <v>209</v>
      </c>
      <c r="D186" s="246" t="s">
        <v>168</v>
      </c>
      <c r="E186" s="51" t="s">
        <v>600</v>
      </c>
      <c r="F186" s="246" t="s">
        <v>741</v>
      </c>
      <c r="G186" s="246" t="s">
        <v>155</v>
      </c>
      <c r="H186" s="93">
        <v>80111600</v>
      </c>
      <c r="I186" s="247">
        <v>2</v>
      </c>
      <c r="J186" s="247">
        <v>10</v>
      </c>
      <c r="K186" s="52">
        <v>0</v>
      </c>
      <c r="L186" s="53">
        <v>56000000</v>
      </c>
      <c r="M186" s="246" t="s">
        <v>464</v>
      </c>
      <c r="N186" s="53" t="s">
        <v>113</v>
      </c>
      <c r="O186" s="51" t="s">
        <v>224</v>
      </c>
      <c r="P186" s="248" t="str">
        <f>IFERROR(VLOOKUP(C186,TD!$B$33:$F$37,2,0)," ")</f>
        <v>O230117</v>
      </c>
      <c r="Q186" s="248" t="str">
        <f>IFERROR(VLOOKUP(C186,TD!$B$33:$F$37,3,0)," ")</f>
        <v>4503</v>
      </c>
      <c r="R186" s="248">
        <f>IFERROR(VLOOKUP(C186,TD!$B$33:$F$37,4,0)," ")</f>
        <v>20240255</v>
      </c>
      <c r="S186" s="51" t="s">
        <v>191</v>
      </c>
      <c r="T186" s="248" t="str">
        <f>IFERROR(VLOOKUP(S186,TD!$J$34:$K$44,2,0)," ")</f>
        <v>Servicio de apoyo   logístico  en eventos operativos y/o emergencias.</v>
      </c>
      <c r="U186" s="249" t="str">
        <f>CONCATENATE(S186,"-",T186)</f>
        <v>12-Servicio de apoyo   logístico  en eventos operativos y/o emergencias.</v>
      </c>
      <c r="V186" s="51" t="s">
        <v>232</v>
      </c>
      <c r="W186" s="248" t="str">
        <f>IFERROR(VLOOKUP(V186,TD!$N$34:$O$46,2,0)," ")</f>
        <v>Servicio de atención a emergencias y desastres</v>
      </c>
      <c r="X186" s="249" t="str">
        <f>CONCATENATE(V186,"_",W186)</f>
        <v>004_Servicio de atención a emergencias y desastres</v>
      </c>
      <c r="Y186" s="249" t="str">
        <f>CONCATENATE(U186," ",X186)</f>
        <v>12-Servicio de apoyo   logístico  en eventos operativos y/o emergencias. 004_Servicio de atención a emergencias y desastres</v>
      </c>
      <c r="Z186" s="248" t="str">
        <f>CONCATENATE(P186,Q186,R186,S186,V186)</f>
        <v>O23011745032024025512004</v>
      </c>
      <c r="AA186" s="248" t="str">
        <f>IFERROR(VLOOKUP(Y186,TD!$K$47:$L$65,2,0)," ")</f>
        <v>PM/0131/0112/45030040255</v>
      </c>
      <c r="AB186" s="53" t="s">
        <v>138</v>
      </c>
      <c r="AC186" s="250" t="s">
        <v>204</v>
      </c>
    </row>
    <row r="187" spans="2:29" s="28" customFormat="1" ht="42" x14ac:dyDescent="0.35">
      <c r="B187" s="77">
        <v>20250185</v>
      </c>
      <c r="C187" s="50" t="s">
        <v>209</v>
      </c>
      <c r="D187" s="246" t="s">
        <v>168</v>
      </c>
      <c r="E187" s="51" t="s">
        <v>600</v>
      </c>
      <c r="F187" s="246" t="s">
        <v>745</v>
      </c>
      <c r="G187" s="246" t="s">
        <v>156</v>
      </c>
      <c r="H187" s="93">
        <v>80111600</v>
      </c>
      <c r="I187" s="247">
        <v>2</v>
      </c>
      <c r="J187" s="247">
        <v>10</v>
      </c>
      <c r="K187" s="52">
        <v>0</v>
      </c>
      <c r="L187" s="53">
        <v>35000000</v>
      </c>
      <c r="M187" s="246" t="s">
        <v>464</v>
      </c>
      <c r="N187" s="53" t="s">
        <v>113</v>
      </c>
      <c r="O187" s="51" t="s">
        <v>224</v>
      </c>
      <c r="P187" s="248" t="str">
        <f>IFERROR(VLOOKUP(C187,TD!$B$33:$F$37,2,0)," ")</f>
        <v>O230117</v>
      </c>
      <c r="Q187" s="248" t="str">
        <f>IFERROR(VLOOKUP(C187,TD!$B$33:$F$37,3,0)," ")</f>
        <v>4503</v>
      </c>
      <c r="R187" s="248">
        <f>IFERROR(VLOOKUP(C187,TD!$B$33:$F$37,4,0)," ")</f>
        <v>20240255</v>
      </c>
      <c r="S187" s="51" t="s">
        <v>191</v>
      </c>
      <c r="T187" s="248" t="str">
        <f>IFERROR(VLOOKUP(S187,TD!$J$34:$K$44,2,0)," ")</f>
        <v>Servicio de apoyo   logístico  en eventos operativos y/o emergencias.</v>
      </c>
      <c r="U187" s="249" t="str">
        <f>CONCATENATE(S187,"-",T187)</f>
        <v>12-Servicio de apoyo   logístico  en eventos operativos y/o emergencias.</v>
      </c>
      <c r="V187" s="51" t="s">
        <v>232</v>
      </c>
      <c r="W187" s="248" t="str">
        <f>IFERROR(VLOOKUP(V187,TD!$N$34:$O$46,2,0)," ")</f>
        <v>Servicio de atención a emergencias y desastres</v>
      </c>
      <c r="X187" s="249" t="str">
        <f>CONCATENATE(V187,"_",W187)</f>
        <v>004_Servicio de atención a emergencias y desastres</v>
      </c>
      <c r="Y187" s="249" t="str">
        <f>CONCATENATE(U187," ",X187)</f>
        <v>12-Servicio de apoyo   logístico  en eventos operativos y/o emergencias. 004_Servicio de atención a emergencias y desastres</v>
      </c>
      <c r="Z187" s="248" t="str">
        <f>CONCATENATE(P187,Q187,R187,S187,V187)</f>
        <v>O23011745032024025512004</v>
      </c>
      <c r="AA187" s="248" t="str">
        <f>IFERROR(VLOOKUP(Y187,TD!$K$47:$L$65,2,0)," ")</f>
        <v>PM/0131/0112/45030040255</v>
      </c>
      <c r="AB187" s="53" t="s">
        <v>138</v>
      </c>
      <c r="AC187" s="250" t="s">
        <v>204</v>
      </c>
    </row>
    <row r="188" spans="2:29" s="28" customFormat="1" ht="56" x14ac:dyDescent="0.35">
      <c r="B188" s="77">
        <v>20250186</v>
      </c>
      <c r="C188" s="50" t="s">
        <v>209</v>
      </c>
      <c r="D188" s="246" t="s">
        <v>168</v>
      </c>
      <c r="E188" s="51" t="s">
        <v>600</v>
      </c>
      <c r="F188" s="246" t="s">
        <v>742</v>
      </c>
      <c r="G188" s="246" t="s">
        <v>155</v>
      </c>
      <c r="H188" s="93">
        <v>80111600</v>
      </c>
      <c r="I188" s="247">
        <v>2</v>
      </c>
      <c r="J188" s="247">
        <v>10</v>
      </c>
      <c r="K188" s="52">
        <v>0</v>
      </c>
      <c r="L188" s="53">
        <v>44000000</v>
      </c>
      <c r="M188" s="246" t="s">
        <v>464</v>
      </c>
      <c r="N188" s="53" t="s">
        <v>113</v>
      </c>
      <c r="O188" s="51" t="s">
        <v>224</v>
      </c>
      <c r="P188" s="248" t="str">
        <f>IFERROR(VLOOKUP(C188,TD!$B$33:$F$37,2,0)," ")</f>
        <v>O230117</v>
      </c>
      <c r="Q188" s="248" t="str">
        <f>IFERROR(VLOOKUP(C188,TD!$B$33:$F$37,3,0)," ")</f>
        <v>4503</v>
      </c>
      <c r="R188" s="248">
        <f>IFERROR(VLOOKUP(C188,TD!$B$33:$F$37,4,0)," ")</f>
        <v>20240255</v>
      </c>
      <c r="S188" s="51" t="s">
        <v>191</v>
      </c>
      <c r="T188" s="248" t="str">
        <f>IFERROR(VLOOKUP(S188,TD!$J$34:$K$44,2,0)," ")</f>
        <v>Servicio de apoyo   logístico  en eventos operativos y/o emergencias.</v>
      </c>
      <c r="U188" s="249" t="str">
        <f>CONCATENATE(S188,"-",T188)</f>
        <v>12-Servicio de apoyo   logístico  en eventos operativos y/o emergencias.</v>
      </c>
      <c r="V188" s="51" t="s">
        <v>232</v>
      </c>
      <c r="W188" s="248" t="str">
        <f>IFERROR(VLOOKUP(V188,TD!$N$34:$O$46,2,0)," ")</f>
        <v>Servicio de atención a emergencias y desastres</v>
      </c>
      <c r="X188" s="249" t="str">
        <f>CONCATENATE(V188,"_",W188)</f>
        <v>004_Servicio de atención a emergencias y desastres</v>
      </c>
      <c r="Y188" s="249" t="str">
        <f>CONCATENATE(U188," ",X188)</f>
        <v>12-Servicio de apoyo   logístico  en eventos operativos y/o emergencias. 004_Servicio de atención a emergencias y desastres</v>
      </c>
      <c r="Z188" s="248" t="str">
        <f>CONCATENATE(P188,Q188,R188,S188,V188)</f>
        <v>O23011745032024025512004</v>
      </c>
      <c r="AA188" s="248" t="str">
        <f>IFERROR(VLOOKUP(Y188,TD!$K$47:$L$65,2,0)," ")</f>
        <v>PM/0131/0112/45030040255</v>
      </c>
      <c r="AB188" s="53" t="s">
        <v>138</v>
      </c>
      <c r="AC188" s="250" t="s">
        <v>204</v>
      </c>
    </row>
    <row r="189" spans="2:29" s="28" customFormat="1" ht="56" x14ac:dyDescent="0.35">
      <c r="B189" s="77">
        <v>20250187</v>
      </c>
      <c r="C189" s="50" t="s">
        <v>209</v>
      </c>
      <c r="D189" s="246" t="s">
        <v>168</v>
      </c>
      <c r="E189" s="51" t="s">
        <v>600</v>
      </c>
      <c r="F189" s="246" t="s">
        <v>502</v>
      </c>
      <c r="G189" s="246" t="s">
        <v>155</v>
      </c>
      <c r="H189" s="93">
        <v>80111600</v>
      </c>
      <c r="I189" s="247">
        <v>2</v>
      </c>
      <c r="J189" s="247">
        <v>10</v>
      </c>
      <c r="K189" s="52">
        <v>0</v>
      </c>
      <c r="L189" s="53">
        <v>81000000</v>
      </c>
      <c r="M189" s="246" t="s">
        <v>464</v>
      </c>
      <c r="N189" s="53" t="s">
        <v>113</v>
      </c>
      <c r="O189" s="51" t="s">
        <v>224</v>
      </c>
      <c r="P189" s="248" t="str">
        <f>IFERROR(VLOOKUP(C189,TD!$B$33:$F$37,2,0)," ")</f>
        <v>O230117</v>
      </c>
      <c r="Q189" s="248" t="str">
        <f>IFERROR(VLOOKUP(C189,TD!$B$33:$F$37,3,0)," ")</f>
        <v>4503</v>
      </c>
      <c r="R189" s="248">
        <f>IFERROR(VLOOKUP(C189,TD!$B$33:$F$37,4,0)," ")</f>
        <v>20240255</v>
      </c>
      <c r="S189" s="51" t="s">
        <v>191</v>
      </c>
      <c r="T189" s="248" t="str">
        <f>IFERROR(VLOOKUP(S189,TD!$J$34:$K$44,2,0)," ")</f>
        <v>Servicio de apoyo   logístico  en eventos operativos y/o emergencias.</v>
      </c>
      <c r="U189" s="249" t="str">
        <f>CONCATENATE(S189,"-",T189)</f>
        <v>12-Servicio de apoyo   logístico  en eventos operativos y/o emergencias.</v>
      </c>
      <c r="V189" s="51" t="s">
        <v>232</v>
      </c>
      <c r="W189" s="248" t="str">
        <f>IFERROR(VLOOKUP(V189,TD!$N$34:$O$46,2,0)," ")</f>
        <v>Servicio de atención a emergencias y desastres</v>
      </c>
      <c r="X189" s="249" t="str">
        <f>CONCATENATE(V189,"_",W189)</f>
        <v>004_Servicio de atención a emergencias y desastres</v>
      </c>
      <c r="Y189" s="249" t="str">
        <f>CONCATENATE(U189," ",X189)</f>
        <v>12-Servicio de apoyo   logístico  en eventos operativos y/o emergencias. 004_Servicio de atención a emergencias y desastres</v>
      </c>
      <c r="Z189" s="248" t="str">
        <f>CONCATENATE(P189,Q189,R189,S189,V189)</f>
        <v>O23011745032024025512004</v>
      </c>
      <c r="AA189" s="248" t="str">
        <f>IFERROR(VLOOKUP(Y189,TD!$K$47:$L$65,2,0)," ")</f>
        <v>PM/0131/0112/45030040255</v>
      </c>
      <c r="AB189" s="53" t="s">
        <v>138</v>
      </c>
      <c r="AC189" s="250" t="s">
        <v>204</v>
      </c>
    </row>
    <row r="190" spans="2:29" s="28" customFormat="1" ht="42" x14ac:dyDescent="0.35">
      <c r="B190" s="77">
        <v>20250188</v>
      </c>
      <c r="C190" s="50" t="s">
        <v>209</v>
      </c>
      <c r="D190" s="246" t="s">
        <v>168</v>
      </c>
      <c r="E190" s="51" t="s">
        <v>600</v>
      </c>
      <c r="F190" s="246" t="s">
        <v>743</v>
      </c>
      <c r="G190" s="246" t="s">
        <v>156</v>
      </c>
      <c r="H190" s="93">
        <v>80111600</v>
      </c>
      <c r="I190" s="247">
        <v>2</v>
      </c>
      <c r="J190" s="247">
        <v>9</v>
      </c>
      <c r="K190" s="52">
        <v>0</v>
      </c>
      <c r="L190" s="53">
        <v>26240000</v>
      </c>
      <c r="M190" s="246" t="s">
        <v>464</v>
      </c>
      <c r="N190" s="53" t="s">
        <v>113</v>
      </c>
      <c r="O190" s="51" t="s">
        <v>224</v>
      </c>
      <c r="P190" s="248" t="str">
        <f>IFERROR(VLOOKUP(C190,TD!$B$33:$F$37,2,0)," ")</f>
        <v>O230117</v>
      </c>
      <c r="Q190" s="248" t="str">
        <f>IFERROR(VLOOKUP(C190,TD!$B$33:$F$37,3,0)," ")</f>
        <v>4503</v>
      </c>
      <c r="R190" s="248">
        <f>IFERROR(VLOOKUP(C190,TD!$B$33:$F$37,4,0)," ")</f>
        <v>20240255</v>
      </c>
      <c r="S190" s="51" t="s">
        <v>187</v>
      </c>
      <c r="T190" s="248" t="str">
        <f>IFERROR(VLOOKUP(S190,TD!$J$34:$K$44,2,0)," ")</f>
        <v>Servicio de mantenimiento, dotación (HEA´s y equipo menor) y adquisición de vehiculos   especializados para la atención de emergencias.</v>
      </c>
      <c r="U190" s="249" t="str">
        <f>CONCATENATE(S190,"-",T190)</f>
        <v>09-Servicio de mantenimiento, dotación (HEA´s y equipo menor) y adquisición de vehiculos   especializados para la atención de emergencias.</v>
      </c>
      <c r="V190" s="51" t="s">
        <v>232</v>
      </c>
      <c r="W190" s="248" t="str">
        <f>IFERROR(VLOOKUP(V190,TD!$N$34:$O$46,2,0)," ")</f>
        <v>Servicio de atención a emergencias y desastres</v>
      </c>
      <c r="X190" s="249" t="str">
        <f>CONCATENATE(V190,"_",W190)</f>
        <v>004_Servicio de atención a emergencias y desastres</v>
      </c>
      <c r="Y190" s="249" t="str">
        <f>CONCATENATE(U190," ",X190)</f>
        <v>09-Servicio de mantenimiento, dotación (HEA´s y equipo menor) y adquisición de vehiculos   especializados para la atención de emergencias. 004_Servicio de atención a emergencias y desastres</v>
      </c>
      <c r="Z190" s="248" t="str">
        <f>CONCATENATE(P190,Q190,R190,S190,V190)</f>
        <v>O23011745032024025509004</v>
      </c>
      <c r="AA190" s="248" t="str">
        <f>IFERROR(VLOOKUP(Y190,TD!$K$47:$L$65,2,0)," ")</f>
        <v>PM/0131/0109/45030040255</v>
      </c>
      <c r="AB190" s="53" t="s">
        <v>138</v>
      </c>
      <c r="AC190" s="250" t="s">
        <v>204</v>
      </c>
    </row>
    <row r="191" spans="2:29" s="28" customFormat="1" ht="42" x14ac:dyDescent="0.35">
      <c r="B191" s="77">
        <v>20250189</v>
      </c>
      <c r="C191" s="50" t="s">
        <v>209</v>
      </c>
      <c r="D191" s="246" t="s">
        <v>168</v>
      </c>
      <c r="E191" s="51" t="s">
        <v>600</v>
      </c>
      <c r="F191" s="246" t="s">
        <v>744</v>
      </c>
      <c r="G191" s="246" t="s">
        <v>156</v>
      </c>
      <c r="H191" s="93">
        <v>80111600</v>
      </c>
      <c r="I191" s="247">
        <v>2</v>
      </c>
      <c r="J191" s="247">
        <v>11</v>
      </c>
      <c r="K191" s="52">
        <v>0</v>
      </c>
      <c r="L191" s="53">
        <v>28800000</v>
      </c>
      <c r="M191" s="246" t="s">
        <v>464</v>
      </c>
      <c r="N191" s="53" t="s">
        <v>113</v>
      </c>
      <c r="O191" s="51" t="s">
        <v>224</v>
      </c>
      <c r="P191" s="248" t="str">
        <f>IFERROR(VLOOKUP(C191,TD!$B$33:$F$37,2,0)," ")</f>
        <v>O230117</v>
      </c>
      <c r="Q191" s="248" t="str">
        <f>IFERROR(VLOOKUP(C191,TD!$B$33:$F$37,3,0)," ")</f>
        <v>4503</v>
      </c>
      <c r="R191" s="248">
        <f>IFERROR(VLOOKUP(C191,TD!$B$33:$F$37,4,0)," ")</f>
        <v>20240255</v>
      </c>
      <c r="S191" s="51" t="s">
        <v>191</v>
      </c>
      <c r="T191" s="248" t="str">
        <f>IFERROR(VLOOKUP(S191,TD!$J$34:$K$44,2,0)," ")</f>
        <v>Servicio de apoyo   logístico  en eventos operativos y/o emergencias.</v>
      </c>
      <c r="U191" s="249" t="str">
        <f>CONCATENATE(S191,"-",T191)</f>
        <v>12-Servicio de apoyo   logístico  en eventos operativos y/o emergencias.</v>
      </c>
      <c r="V191" s="51" t="s">
        <v>232</v>
      </c>
      <c r="W191" s="248" t="str">
        <f>IFERROR(VLOOKUP(V191,TD!$N$34:$O$46,2,0)," ")</f>
        <v>Servicio de atención a emergencias y desastres</v>
      </c>
      <c r="X191" s="249" t="str">
        <f>CONCATENATE(V191,"_",W191)</f>
        <v>004_Servicio de atención a emergencias y desastres</v>
      </c>
      <c r="Y191" s="249" t="str">
        <f>CONCATENATE(U191," ",X191)</f>
        <v>12-Servicio de apoyo   logístico  en eventos operativos y/o emergencias. 004_Servicio de atención a emergencias y desastres</v>
      </c>
      <c r="Z191" s="248" t="str">
        <f>CONCATENATE(P191,Q191,R191,S191,V191)</f>
        <v>O23011745032024025512004</v>
      </c>
      <c r="AA191" s="248" t="str">
        <f>IFERROR(VLOOKUP(Y191,TD!$K$47:$L$65,2,0)," ")</f>
        <v>PM/0131/0112/45030040255</v>
      </c>
      <c r="AB191" s="53" t="s">
        <v>138</v>
      </c>
      <c r="AC191" s="250" t="s">
        <v>204</v>
      </c>
    </row>
    <row r="192" spans="2:29" s="28" customFormat="1" ht="56" x14ac:dyDescent="0.35">
      <c r="B192" s="77">
        <v>20250190</v>
      </c>
      <c r="C192" s="50" t="s">
        <v>209</v>
      </c>
      <c r="D192" s="246" t="s">
        <v>168</v>
      </c>
      <c r="E192" s="51" t="s">
        <v>600</v>
      </c>
      <c r="F192" s="246" t="s">
        <v>813</v>
      </c>
      <c r="G192" s="246" t="s">
        <v>156</v>
      </c>
      <c r="H192" s="93">
        <v>80111600</v>
      </c>
      <c r="I192" s="247">
        <v>2</v>
      </c>
      <c r="J192" s="247">
        <v>10</v>
      </c>
      <c r="K192" s="52">
        <v>0</v>
      </c>
      <c r="L192" s="53">
        <v>28800000</v>
      </c>
      <c r="M192" s="246" t="s">
        <v>464</v>
      </c>
      <c r="N192" s="53" t="s">
        <v>113</v>
      </c>
      <c r="O192" s="51" t="s">
        <v>224</v>
      </c>
      <c r="P192" s="248" t="str">
        <f>IFERROR(VLOOKUP(C192,TD!$B$33:$F$37,2,0)," ")</f>
        <v>O230117</v>
      </c>
      <c r="Q192" s="248" t="str">
        <f>IFERROR(VLOOKUP(C192,TD!$B$33:$F$37,3,0)," ")</f>
        <v>4503</v>
      </c>
      <c r="R192" s="248">
        <f>IFERROR(VLOOKUP(C192,TD!$B$33:$F$37,4,0)," ")</f>
        <v>20240255</v>
      </c>
      <c r="S192" s="51" t="s">
        <v>191</v>
      </c>
      <c r="T192" s="248" t="str">
        <f>IFERROR(VLOOKUP(S192,TD!$J$34:$K$44,2,0)," ")</f>
        <v>Servicio de apoyo   logístico  en eventos operativos y/o emergencias.</v>
      </c>
      <c r="U192" s="249" t="str">
        <f>CONCATENATE(S192,"-",T192)</f>
        <v>12-Servicio de apoyo   logístico  en eventos operativos y/o emergencias.</v>
      </c>
      <c r="V192" s="51" t="s">
        <v>232</v>
      </c>
      <c r="W192" s="248" t="str">
        <f>IFERROR(VLOOKUP(V192,TD!$N$34:$O$46,2,0)," ")</f>
        <v>Servicio de atención a emergencias y desastres</v>
      </c>
      <c r="X192" s="249" t="str">
        <f>CONCATENATE(V192,"_",W192)</f>
        <v>004_Servicio de atención a emergencias y desastres</v>
      </c>
      <c r="Y192" s="249" t="str">
        <f>CONCATENATE(U192," ",X192)</f>
        <v>12-Servicio de apoyo   logístico  en eventos operativos y/o emergencias. 004_Servicio de atención a emergencias y desastres</v>
      </c>
      <c r="Z192" s="248" t="str">
        <f>CONCATENATE(P192,Q192,R192,S192,V192)</f>
        <v>O23011745032024025512004</v>
      </c>
      <c r="AA192" s="248" t="str">
        <f>IFERROR(VLOOKUP(Y192,TD!$K$47:$L$65,2,0)," ")</f>
        <v>PM/0131/0112/45030040255</v>
      </c>
      <c r="AB192" s="53" t="s">
        <v>138</v>
      </c>
      <c r="AC192" s="250" t="s">
        <v>204</v>
      </c>
    </row>
    <row r="193" spans="2:29" s="28" customFormat="1" ht="56" x14ac:dyDescent="0.35">
      <c r="B193" s="77">
        <v>20250191</v>
      </c>
      <c r="C193" s="50" t="s">
        <v>209</v>
      </c>
      <c r="D193" s="246" t="s">
        <v>168</v>
      </c>
      <c r="E193" s="51" t="s">
        <v>600</v>
      </c>
      <c r="F193" s="246" t="s">
        <v>745</v>
      </c>
      <c r="G193" s="246" t="s">
        <v>156</v>
      </c>
      <c r="H193" s="93">
        <v>80111600</v>
      </c>
      <c r="I193" s="247">
        <v>2</v>
      </c>
      <c r="J193" s="247">
        <v>10</v>
      </c>
      <c r="K193" s="52">
        <v>0</v>
      </c>
      <c r="L193" s="53">
        <v>35000000</v>
      </c>
      <c r="M193" s="246" t="s">
        <v>464</v>
      </c>
      <c r="N193" s="53" t="s">
        <v>113</v>
      </c>
      <c r="O193" s="51" t="s">
        <v>224</v>
      </c>
      <c r="P193" s="248" t="str">
        <f>IFERROR(VLOOKUP(C193,TD!$B$33:$F$37,2,0)," ")</f>
        <v>O230117</v>
      </c>
      <c r="Q193" s="248" t="str">
        <f>IFERROR(VLOOKUP(C193,TD!$B$33:$F$37,3,0)," ")</f>
        <v>4503</v>
      </c>
      <c r="R193" s="248">
        <f>IFERROR(VLOOKUP(C193,TD!$B$33:$F$37,4,0)," ")</f>
        <v>20240255</v>
      </c>
      <c r="S193" s="51" t="s">
        <v>191</v>
      </c>
      <c r="T193" s="248" t="str">
        <f>IFERROR(VLOOKUP(S193,TD!$J$34:$K$44,2,0)," ")</f>
        <v>Servicio de apoyo   logístico  en eventos operativos y/o emergencias.</v>
      </c>
      <c r="U193" s="249" t="str">
        <f>CONCATENATE(S193,"-",T193)</f>
        <v>12-Servicio de apoyo   logístico  en eventos operativos y/o emergencias.</v>
      </c>
      <c r="V193" s="51" t="s">
        <v>232</v>
      </c>
      <c r="W193" s="248" t="str">
        <f>IFERROR(VLOOKUP(V193,TD!$N$34:$O$46,2,0)," ")</f>
        <v>Servicio de atención a emergencias y desastres</v>
      </c>
      <c r="X193" s="249" t="str">
        <f>CONCATENATE(V193,"_",W193)</f>
        <v>004_Servicio de atención a emergencias y desastres</v>
      </c>
      <c r="Y193" s="249" t="str">
        <f>CONCATENATE(U193," ",X193)</f>
        <v>12-Servicio de apoyo   logístico  en eventos operativos y/o emergencias. 004_Servicio de atención a emergencias y desastres</v>
      </c>
      <c r="Z193" s="248" t="str">
        <f>CONCATENATE(P193,Q193,R193,S193,V193)</f>
        <v>O23011745032024025512004</v>
      </c>
      <c r="AA193" s="248" t="str">
        <f>IFERROR(VLOOKUP(Y193,TD!$K$47:$L$65,2,0)," ")</f>
        <v>PM/0131/0112/45030040255</v>
      </c>
      <c r="AB193" s="53" t="s">
        <v>138</v>
      </c>
      <c r="AC193" s="250" t="s">
        <v>204</v>
      </c>
    </row>
    <row r="194" spans="2:29" s="28" customFormat="1" ht="56" x14ac:dyDescent="0.35">
      <c r="B194" s="77">
        <v>20250192</v>
      </c>
      <c r="C194" s="50" t="s">
        <v>209</v>
      </c>
      <c r="D194" s="246" t="s">
        <v>168</v>
      </c>
      <c r="E194" s="51" t="s">
        <v>600</v>
      </c>
      <c r="F194" s="246" t="s">
        <v>746</v>
      </c>
      <c r="G194" s="246" t="s">
        <v>155</v>
      </c>
      <c r="H194" s="93">
        <v>80111600</v>
      </c>
      <c r="I194" s="247">
        <v>2</v>
      </c>
      <c r="J194" s="247">
        <v>11</v>
      </c>
      <c r="K194" s="52">
        <v>0</v>
      </c>
      <c r="L194" s="53">
        <v>83700000</v>
      </c>
      <c r="M194" s="246" t="s">
        <v>464</v>
      </c>
      <c r="N194" s="53" t="s">
        <v>113</v>
      </c>
      <c r="O194" s="51" t="s">
        <v>224</v>
      </c>
      <c r="P194" s="248" t="str">
        <f>IFERROR(VLOOKUP(C194,TD!$B$33:$F$37,2,0)," ")</f>
        <v>O230117</v>
      </c>
      <c r="Q194" s="248" t="str">
        <f>IFERROR(VLOOKUP(C194,TD!$B$33:$F$37,3,0)," ")</f>
        <v>4503</v>
      </c>
      <c r="R194" s="248">
        <f>IFERROR(VLOOKUP(C194,TD!$B$33:$F$37,4,0)," ")</f>
        <v>20240255</v>
      </c>
      <c r="S194" s="51" t="s">
        <v>187</v>
      </c>
      <c r="T194" s="248" t="str">
        <f>IFERROR(VLOOKUP(S194,TD!$J$34:$K$44,2,0)," ")</f>
        <v>Servicio de mantenimiento, dotación (HEA´s y equipo menor) y adquisición de vehiculos   especializados para la atención de emergencias.</v>
      </c>
      <c r="U194" s="249" t="str">
        <f>CONCATENATE(S194,"-",T194)</f>
        <v>09-Servicio de mantenimiento, dotación (HEA´s y equipo menor) y adquisición de vehiculos   especializados para la atención de emergencias.</v>
      </c>
      <c r="V194" s="51" t="s">
        <v>232</v>
      </c>
      <c r="W194" s="248" t="str">
        <f>IFERROR(VLOOKUP(V194,TD!$N$34:$O$46,2,0)," ")</f>
        <v>Servicio de atención a emergencias y desastres</v>
      </c>
      <c r="X194" s="249" t="str">
        <f>CONCATENATE(V194,"_",W194)</f>
        <v>004_Servicio de atención a emergencias y desastres</v>
      </c>
      <c r="Y194" s="249" t="str">
        <f>CONCATENATE(U194," ",X194)</f>
        <v>09-Servicio de mantenimiento, dotación (HEA´s y equipo menor) y adquisición de vehiculos   especializados para la atención de emergencias. 004_Servicio de atención a emergencias y desastres</v>
      </c>
      <c r="Z194" s="248" t="str">
        <f>CONCATENATE(P194,Q194,R194,S194,V194)</f>
        <v>O23011745032024025509004</v>
      </c>
      <c r="AA194" s="248" t="str">
        <f>IFERROR(VLOOKUP(Y194,TD!$K$47:$L$65,2,0)," ")</f>
        <v>PM/0131/0109/45030040255</v>
      </c>
      <c r="AB194" s="53" t="s">
        <v>138</v>
      </c>
      <c r="AC194" s="250" t="s">
        <v>204</v>
      </c>
    </row>
    <row r="195" spans="2:29" s="28" customFormat="1" ht="42" x14ac:dyDescent="0.35">
      <c r="B195" s="77">
        <v>20250193</v>
      </c>
      <c r="C195" s="50" t="s">
        <v>209</v>
      </c>
      <c r="D195" s="246" t="s">
        <v>168</v>
      </c>
      <c r="E195" s="51" t="s">
        <v>600</v>
      </c>
      <c r="F195" s="246" t="s">
        <v>864</v>
      </c>
      <c r="G195" s="246" t="s">
        <v>156</v>
      </c>
      <c r="H195" s="93">
        <v>80111600</v>
      </c>
      <c r="I195" s="247">
        <v>3</v>
      </c>
      <c r="J195" s="247">
        <v>8</v>
      </c>
      <c r="K195" s="52">
        <v>0</v>
      </c>
      <c r="L195" s="53">
        <v>36000000</v>
      </c>
      <c r="M195" s="246" t="s">
        <v>464</v>
      </c>
      <c r="N195" s="53" t="s">
        <v>113</v>
      </c>
      <c r="O195" s="51" t="s">
        <v>224</v>
      </c>
      <c r="P195" s="248" t="str">
        <f>IFERROR(VLOOKUP(C195,TD!$B$33:$F$37,2,0)," ")</f>
        <v>O230117</v>
      </c>
      <c r="Q195" s="248" t="str">
        <f>IFERROR(VLOOKUP(C195,TD!$B$33:$F$37,3,0)," ")</f>
        <v>4503</v>
      </c>
      <c r="R195" s="248">
        <f>IFERROR(VLOOKUP(C195,TD!$B$33:$F$37,4,0)," ")</f>
        <v>20240255</v>
      </c>
      <c r="S195" s="51" t="s">
        <v>191</v>
      </c>
      <c r="T195" s="248" t="str">
        <f>IFERROR(VLOOKUP(S195,TD!$J$34:$K$44,2,0)," ")</f>
        <v>Servicio de apoyo   logístico  en eventos operativos y/o emergencias.</v>
      </c>
      <c r="U195" s="249" t="str">
        <f>CONCATENATE(S195,"-",T195)</f>
        <v>12-Servicio de apoyo   logístico  en eventos operativos y/o emergencias.</v>
      </c>
      <c r="V195" s="51" t="s">
        <v>232</v>
      </c>
      <c r="W195" s="248" t="str">
        <f>IFERROR(VLOOKUP(V195,TD!$N$34:$O$46,2,0)," ")</f>
        <v>Servicio de atención a emergencias y desastres</v>
      </c>
      <c r="X195" s="249" t="str">
        <f>CONCATENATE(V195,"_",W195)</f>
        <v>004_Servicio de atención a emergencias y desastres</v>
      </c>
      <c r="Y195" s="249" t="str">
        <f>CONCATENATE(U195," ",X195)</f>
        <v>12-Servicio de apoyo   logístico  en eventos operativos y/o emergencias. 004_Servicio de atención a emergencias y desastres</v>
      </c>
      <c r="Z195" s="248" t="str">
        <f>CONCATENATE(P195,Q195,R195,S195,V195)</f>
        <v>O23011745032024025512004</v>
      </c>
      <c r="AA195" s="248" t="str">
        <f>IFERROR(VLOOKUP(Y195,TD!$K$47:$L$65,2,0)," ")</f>
        <v>PM/0131/0112/45030040255</v>
      </c>
      <c r="AB195" s="53" t="s">
        <v>138</v>
      </c>
      <c r="AC195" s="250" t="s">
        <v>204</v>
      </c>
    </row>
    <row r="196" spans="2:29" s="28" customFormat="1" ht="42" x14ac:dyDescent="0.35">
      <c r="B196" s="77">
        <v>20250195</v>
      </c>
      <c r="C196" s="50" t="s">
        <v>209</v>
      </c>
      <c r="D196" s="246" t="s">
        <v>168</v>
      </c>
      <c r="E196" s="51" t="s">
        <v>600</v>
      </c>
      <c r="F196" s="246" t="s">
        <v>747</v>
      </c>
      <c r="G196" s="246" t="s">
        <v>155</v>
      </c>
      <c r="H196" s="93">
        <v>80111600</v>
      </c>
      <c r="I196" s="247">
        <v>2</v>
      </c>
      <c r="J196" s="247">
        <v>10</v>
      </c>
      <c r="K196" s="52">
        <v>0</v>
      </c>
      <c r="L196" s="53">
        <v>22940000</v>
      </c>
      <c r="M196" s="246" t="s">
        <v>464</v>
      </c>
      <c r="N196" s="53" t="s">
        <v>113</v>
      </c>
      <c r="O196" s="51" t="s">
        <v>224</v>
      </c>
      <c r="P196" s="248" t="str">
        <f>IFERROR(VLOOKUP(C196,TD!$B$33:$F$37,2,0)," ")</f>
        <v>O230117</v>
      </c>
      <c r="Q196" s="248" t="str">
        <f>IFERROR(VLOOKUP(C196,TD!$B$33:$F$37,3,0)," ")</f>
        <v>4503</v>
      </c>
      <c r="R196" s="248">
        <f>IFERROR(VLOOKUP(C196,TD!$B$33:$F$37,4,0)," ")</f>
        <v>20240255</v>
      </c>
      <c r="S196" s="51" t="s">
        <v>191</v>
      </c>
      <c r="T196" s="248" t="str">
        <f>IFERROR(VLOOKUP(S196,TD!$J$34:$K$44,2,0)," ")</f>
        <v>Servicio de apoyo   logístico  en eventos operativos y/o emergencias.</v>
      </c>
      <c r="U196" s="249" t="str">
        <f>CONCATENATE(S196,"-",T196)</f>
        <v>12-Servicio de apoyo   logístico  en eventos operativos y/o emergencias.</v>
      </c>
      <c r="V196" s="51" t="s">
        <v>232</v>
      </c>
      <c r="W196" s="248" t="str">
        <f>IFERROR(VLOOKUP(V196,TD!$N$34:$O$46,2,0)," ")</f>
        <v>Servicio de atención a emergencias y desastres</v>
      </c>
      <c r="X196" s="249" t="str">
        <f>CONCATENATE(V196,"_",W196)</f>
        <v>004_Servicio de atención a emergencias y desastres</v>
      </c>
      <c r="Y196" s="249" t="str">
        <f>CONCATENATE(U196," ",X196)</f>
        <v>12-Servicio de apoyo   logístico  en eventos operativos y/o emergencias. 004_Servicio de atención a emergencias y desastres</v>
      </c>
      <c r="Z196" s="248" t="str">
        <f>CONCATENATE(P196,Q196,R196,S196,V196)</f>
        <v>O23011745032024025512004</v>
      </c>
      <c r="AA196" s="248" t="str">
        <f>IFERROR(VLOOKUP(Y196,TD!$K$47:$L$65,2,0)," ")</f>
        <v>PM/0131/0112/45030040255</v>
      </c>
      <c r="AB196" s="53" t="s">
        <v>120</v>
      </c>
      <c r="AC196" s="250" t="s">
        <v>204</v>
      </c>
    </row>
    <row r="197" spans="2:29" s="28" customFormat="1" ht="56" x14ac:dyDescent="0.35">
      <c r="B197" s="77">
        <v>20250196</v>
      </c>
      <c r="C197" s="50" t="s">
        <v>209</v>
      </c>
      <c r="D197" s="246" t="s">
        <v>168</v>
      </c>
      <c r="E197" s="51" t="s">
        <v>600</v>
      </c>
      <c r="F197" s="246" t="s">
        <v>503</v>
      </c>
      <c r="G197" s="246" t="s">
        <v>155</v>
      </c>
      <c r="H197" s="93">
        <v>80111600</v>
      </c>
      <c r="I197" s="247">
        <v>2</v>
      </c>
      <c r="J197" s="247">
        <v>11</v>
      </c>
      <c r="K197" s="52">
        <v>0</v>
      </c>
      <c r="L197" s="53">
        <v>38500000</v>
      </c>
      <c r="M197" s="246" t="s">
        <v>464</v>
      </c>
      <c r="N197" s="53" t="s">
        <v>113</v>
      </c>
      <c r="O197" s="51" t="s">
        <v>224</v>
      </c>
      <c r="P197" s="248" t="str">
        <f>IFERROR(VLOOKUP(C197,TD!$B$33:$F$37,2,0)," ")</f>
        <v>O230117</v>
      </c>
      <c r="Q197" s="248" t="str">
        <f>IFERROR(VLOOKUP(C197,TD!$B$33:$F$37,3,0)," ")</f>
        <v>4503</v>
      </c>
      <c r="R197" s="248">
        <f>IFERROR(VLOOKUP(C197,TD!$B$33:$F$37,4,0)," ")</f>
        <v>20240255</v>
      </c>
      <c r="S197" s="51" t="s">
        <v>191</v>
      </c>
      <c r="T197" s="248" t="str">
        <f>IFERROR(VLOOKUP(S197,TD!$J$34:$K$44,2,0)," ")</f>
        <v>Servicio de apoyo   logístico  en eventos operativos y/o emergencias.</v>
      </c>
      <c r="U197" s="249" t="str">
        <f>CONCATENATE(S197,"-",T197)</f>
        <v>12-Servicio de apoyo   logístico  en eventos operativos y/o emergencias.</v>
      </c>
      <c r="V197" s="51" t="s">
        <v>232</v>
      </c>
      <c r="W197" s="248" t="str">
        <f>IFERROR(VLOOKUP(V197,TD!$N$34:$O$46,2,0)," ")</f>
        <v>Servicio de atención a emergencias y desastres</v>
      </c>
      <c r="X197" s="249" t="str">
        <f>CONCATENATE(V197,"_",W197)</f>
        <v>004_Servicio de atención a emergencias y desastres</v>
      </c>
      <c r="Y197" s="249" t="str">
        <f>CONCATENATE(U197," ",X197)</f>
        <v>12-Servicio de apoyo   logístico  en eventos operativos y/o emergencias. 004_Servicio de atención a emergencias y desastres</v>
      </c>
      <c r="Z197" s="248" t="str">
        <f>CONCATENATE(P197,Q197,R197,S197,V197)</f>
        <v>O23011745032024025512004</v>
      </c>
      <c r="AA197" s="248" t="str">
        <f>IFERROR(VLOOKUP(Y197,TD!$K$47:$L$65,2,0)," ")</f>
        <v>PM/0131/0112/45030040255</v>
      </c>
      <c r="AB197" s="53" t="s">
        <v>138</v>
      </c>
      <c r="AC197" s="250" t="s">
        <v>204</v>
      </c>
    </row>
    <row r="198" spans="2:29" s="28" customFormat="1" ht="56" x14ac:dyDescent="0.35">
      <c r="B198" s="77">
        <v>20250197</v>
      </c>
      <c r="C198" s="50" t="s">
        <v>209</v>
      </c>
      <c r="D198" s="246" t="s">
        <v>168</v>
      </c>
      <c r="E198" s="51" t="s">
        <v>600</v>
      </c>
      <c r="F198" s="246" t="s">
        <v>748</v>
      </c>
      <c r="G198" s="246" t="s">
        <v>155</v>
      </c>
      <c r="H198" s="93">
        <v>80111600</v>
      </c>
      <c r="I198" s="247">
        <v>2</v>
      </c>
      <c r="J198" s="247">
        <v>11</v>
      </c>
      <c r="K198" s="52">
        <v>0</v>
      </c>
      <c r="L198" s="53">
        <v>40500000</v>
      </c>
      <c r="M198" s="246" t="s">
        <v>464</v>
      </c>
      <c r="N198" s="53" t="s">
        <v>113</v>
      </c>
      <c r="O198" s="51" t="s">
        <v>224</v>
      </c>
      <c r="P198" s="248" t="str">
        <f>IFERROR(VLOOKUP(C198,TD!$B$33:$F$37,2,0)," ")</f>
        <v>O230117</v>
      </c>
      <c r="Q198" s="248" t="str">
        <f>IFERROR(VLOOKUP(C198,TD!$B$33:$F$37,3,0)," ")</f>
        <v>4503</v>
      </c>
      <c r="R198" s="248">
        <f>IFERROR(VLOOKUP(C198,TD!$B$33:$F$37,4,0)," ")</f>
        <v>20240255</v>
      </c>
      <c r="S198" s="51" t="s">
        <v>191</v>
      </c>
      <c r="T198" s="248" t="str">
        <f>IFERROR(VLOOKUP(S198,TD!$J$34:$K$44,2,0)," ")</f>
        <v>Servicio de apoyo   logístico  en eventos operativos y/o emergencias.</v>
      </c>
      <c r="U198" s="249" t="str">
        <f>CONCATENATE(S198,"-",T198)</f>
        <v>12-Servicio de apoyo   logístico  en eventos operativos y/o emergencias.</v>
      </c>
      <c r="V198" s="51" t="s">
        <v>232</v>
      </c>
      <c r="W198" s="248" t="str">
        <f>IFERROR(VLOOKUP(V198,TD!$N$34:$O$46,2,0)," ")</f>
        <v>Servicio de atención a emergencias y desastres</v>
      </c>
      <c r="X198" s="249" t="str">
        <f>CONCATENATE(V198,"_",W198)</f>
        <v>004_Servicio de atención a emergencias y desastres</v>
      </c>
      <c r="Y198" s="249" t="str">
        <f>CONCATENATE(U198," ",X198)</f>
        <v>12-Servicio de apoyo   logístico  en eventos operativos y/o emergencias. 004_Servicio de atención a emergencias y desastres</v>
      </c>
      <c r="Z198" s="248" t="str">
        <f>CONCATENATE(P198,Q198,R198,S198,V198)</f>
        <v>O23011745032024025512004</v>
      </c>
      <c r="AA198" s="248" t="str">
        <f>IFERROR(VLOOKUP(Y198,TD!$K$47:$L$65,2,0)," ")</f>
        <v>PM/0131/0112/45030040255</v>
      </c>
      <c r="AB198" s="53" t="s">
        <v>138</v>
      </c>
      <c r="AC198" s="250" t="s">
        <v>204</v>
      </c>
    </row>
    <row r="199" spans="2:29" s="28" customFormat="1" ht="56" x14ac:dyDescent="0.35">
      <c r="B199" s="77">
        <v>20250198</v>
      </c>
      <c r="C199" s="50" t="s">
        <v>209</v>
      </c>
      <c r="D199" s="246" t="s">
        <v>168</v>
      </c>
      <c r="E199" s="51" t="s">
        <v>600</v>
      </c>
      <c r="F199" s="246" t="s">
        <v>749</v>
      </c>
      <c r="G199" s="246" t="s">
        <v>155</v>
      </c>
      <c r="H199" s="93">
        <v>80111600</v>
      </c>
      <c r="I199" s="247">
        <v>2</v>
      </c>
      <c r="J199" s="247">
        <v>11</v>
      </c>
      <c r="K199" s="52">
        <v>0</v>
      </c>
      <c r="L199" s="53">
        <v>76500000</v>
      </c>
      <c r="M199" s="246" t="s">
        <v>464</v>
      </c>
      <c r="N199" s="53" t="s">
        <v>113</v>
      </c>
      <c r="O199" s="51" t="s">
        <v>224</v>
      </c>
      <c r="P199" s="248" t="str">
        <f>IFERROR(VLOOKUP(C199,TD!$B$33:$F$37,2,0)," ")</f>
        <v>O230117</v>
      </c>
      <c r="Q199" s="248" t="str">
        <f>IFERROR(VLOOKUP(C199,TD!$B$33:$F$37,3,0)," ")</f>
        <v>4503</v>
      </c>
      <c r="R199" s="248">
        <f>IFERROR(VLOOKUP(C199,TD!$B$33:$F$37,4,0)," ")</f>
        <v>20240255</v>
      </c>
      <c r="S199" s="51" t="s">
        <v>187</v>
      </c>
      <c r="T199" s="248" t="str">
        <f>IFERROR(VLOOKUP(S199,TD!$J$34:$K$44,2,0)," ")</f>
        <v>Servicio de mantenimiento, dotación (HEA´s y equipo menor) y adquisición de vehiculos   especializados para la atención de emergencias.</v>
      </c>
      <c r="U199" s="249" t="str">
        <f>CONCATENATE(S199,"-",T199)</f>
        <v>09-Servicio de mantenimiento, dotación (HEA´s y equipo menor) y adquisición de vehiculos   especializados para la atención de emergencias.</v>
      </c>
      <c r="V199" s="51" t="s">
        <v>232</v>
      </c>
      <c r="W199" s="248" t="str">
        <f>IFERROR(VLOOKUP(V199,TD!$N$34:$O$46,2,0)," ")</f>
        <v>Servicio de atención a emergencias y desastres</v>
      </c>
      <c r="X199" s="249" t="str">
        <f>CONCATENATE(V199,"_",W199)</f>
        <v>004_Servicio de atención a emergencias y desastres</v>
      </c>
      <c r="Y199" s="249" t="str">
        <f>CONCATENATE(U199," ",X199)</f>
        <v>09-Servicio de mantenimiento, dotación (HEA´s y equipo menor) y adquisición de vehiculos   especializados para la atención de emergencias. 004_Servicio de atención a emergencias y desastres</v>
      </c>
      <c r="Z199" s="248" t="str">
        <f>CONCATENATE(P199,Q199,R199,S199,V199)</f>
        <v>O23011745032024025509004</v>
      </c>
      <c r="AA199" s="248" t="str">
        <f>IFERROR(VLOOKUP(Y199,TD!$K$47:$L$65,2,0)," ")</f>
        <v>PM/0131/0109/45030040255</v>
      </c>
      <c r="AB199" s="53" t="s">
        <v>138</v>
      </c>
      <c r="AC199" s="250" t="s">
        <v>204</v>
      </c>
    </row>
    <row r="200" spans="2:29" s="28" customFormat="1" ht="56" x14ac:dyDescent="0.35">
      <c r="B200" s="77">
        <v>20250199</v>
      </c>
      <c r="C200" s="50" t="s">
        <v>209</v>
      </c>
      <c r="D200" s="246" t="s">
        <v>168</v>
      </c>
      <c r="E200" s="51" t="s">
        <v>600</v>
      </c>
      <c r="F200" s="246" t="s">
        <v>750</v>
      </c>
      <c r="G200" s="246" t="s">
        <v>155</v>
      </c>
      <c r="H200" s="93">
        <v>80111600</v>
      </c>
      <c r="I200" s="247">
        <v>2</v>
      </c>
      <c r="J200" s="247">
        <v>11</v>
      </c>
      <c r="K200" s="52">
        <v>0</v>
      </c>
      <c r="L200" s="53">
        <v>49500000</v>
      </c>
      <c r="M200" s="246" t="s">
        <v>464</v>
      </c>
      <c r="N200" s="53" t="s">
        <v>113</v>
      </c>
      <c r="O200" s="51" t="s">
        <v>224</v>
      </c>
      <c r="P200" s="248" t="str">
        <f>IFERROR(VLOOKUP(C200,TD!$B$33:$F$37,2,0)," ")</f>
        <v>O230117</v>
      </c>
      <c r="Q200" s="248" t="str">
        <f>IFERROR(VLOOKUP(C200,TD!$B$33:$F$37,3,0)," ")</f>
        <v>4503</v>
      </c>
      <c r="R200" s="248">
        <f>IFERROR(VLOOKUP(C200,TD!$B$33:$F$37,4,0)," ")</f>
        <v>20240255</v>
      </c>
      <c r="S200" s="51" t="s">
        <v>191</v>
      </c>
      <c r="T200" s="248" t="str">
        <f>IFERROR(VLOOKUP(S200,TD!$J$34:$K$44,2,0)," ")</f>
        <v>Servicio de apoyo   logístico  en eventos operativos y/o emergencias.</v>
      </c>
      <c r="U200" s="249" t="str">
        <f>CONCATENATE(S200,"-",T200)</f>
        <v>12-Servicio de apoyo   logístico  en eventos operativos y/o emergencias.</v>
      </c>
      <c r="V200" s="51" t="s">
        <v>232</v>
      </c>
      <c r="W200" s="248" t="str">
        <f>IFERROR(VLOOKUP(V200,TD!$N$34:$O$46,2,0)," ")</f>
        <v>Servicio de atención a emergencias y desastres</v>
      </c>
      <c r="X200" s="249" t="str">
        <f>CONCATENATE(V200,"_",W200)</f>
        <v>004_Servicio de atención a emergencias y desastres</v>
      </c>
      <c r="Y200" s="249" t="str">
        <f>CONCATENATE(U200," ",X200)</f>
        <v>12-Servicio de apoyo   logístico  en eventos operativos y/o emergencias. 004_Servicio de atención a emergencias y desastres</v>
      </c>
      <c r="Z200" s="248" t="str">
        <f>CONCATENATE(P200,Q200,R200,S200,V200)</f>
        <v>O23011745032024025512004</v>
      </c>
      <c r="AA200" s="248" t="str">
        <f>IFERROR(VLOOKUP(Y200,TD!$K$47:$L$65,2,0)," ")</f>
        <v>PM/0131/0112/45030040255</v>
      </c>
      <c r="AB200" s="53" t="s">
        <v>138</v>
      </c>
      <c r="AC200" s="250" t="s">
        <v>204</v>
      </c>
    </row>
    <row r="201" spans="2:29" s="28" customFormat="1" ht="70" x14ac:dyDescent="0.35">
      <c r="B201" s="77">
        <v>20250200</v>
      </c>
      <c r="C201" s="50" t="s">
        <v>209</v>
      </c>
      <c r="D201" s="246" t="s">
        <v>168</v>
      </c>
      <c r="E201" s="51" t="s">
        <v>600</v>
      </c>
      <c r="F201" s="246" t="s">
        <v>751</v>
      </c>
      <c r="G201" s="246" t="s">
        <v>156</v>
      </c>
      <c r="H201" s="93">
        <v>80111600</v>
      </c>
      <c r="I201" s="247">
        <v>2</v>
      </c>
      <c r="J201" s="247">
        <v>10</v>
      </c>
      <c r="K201" s="52">
        <v>0</v>
      </c>
      <c r="L201" s="53">
        <v>32400000</v>
      </c>
      <c r="M201" s="246" t="s">
        <v>464</v>
      </c>
      <c r="N201" s="53" t="s">
        <v>113</v>
      </c>
      <c r="O201" s="51" t="s">
        <v>224</v>
      </c>
      <c r="P201" s="248" t="str">
        <f>IFERROR(VLOOKUP(C201,TD!$B$33:$F$37,2,0)," ")</f>
        <v>O230117</v>
      </c>
      <c r="Q201" s="248" t="str">
        <f>IFERROR(VLOOKUP(C201,TD!$B$33:$F$37,3,0)," ")</f>
        <v>4503</v>
      </c>
      <c r="R201" s="248">
        <f>IFERROR(VLOOKUP(C201,TD!$B$33:$F$37,4,0)," ")</f>
        <v>20240255</v>
      </c>
      <c r="S201" s="51" t="s">
        <v>191</v>
      </c>
      <c r="T201" s="248" t="str">
        <f>IFERROR(VLOOKUP(S201,TD!$J$34:$K$44,2,0)," ")</f>
        <v>Servicio de apoyo   logístico  en eventos operativos y/o emergencias.</v>
      </c>
      <c r="U201" s="249" t="str">
        <f>CONCATENATE(S201,"-",T201)</f>
        <v>12-Servicio de apoyo   logístico  en eventos operativos y/o emergencias.</v>
      </c>
      <c r="V201" s="51" t="s">
        <v>232</v>
      </c>
      <c r="W201" s="248" t="str">
        <f>IFERROR(VLOOKUP(V201,TD!$N$34:$O$46,2,0)," ")</f>
        <v>Servicio de atención a emergencias y desastres</v>
      </c>
      <c r="X201" s="249" t="str">
        <f>CONCATENATE(V201,"_",W201)</f>
        <v>004_Servicio de atención a emergencias y desastres</v>
      </c>
      <c r="Y201" s="249" t="str">
        <f>CONCATENATE(U201," ",X201)</f>
        <v>12-Servicio de apoyo   logístico  en eventos operativos y/o emergencias. 004_Servicio de atención a emergencias y desastres</v>
      </c>
      <c r="Z201" s="248" t="str">
        <f>CONCATENATE(P201,Q201,R201,S201,V201)</f>
        <v>O23011745032024025512004</v>
      </c>
      <c r="AA201" s="248" t="str">
        <f>IFERROR(VLOOKUP(Y201,TD!$K$47:$L$65,2,0)," ")</f>
        <v>PM/0131/0112/45030040255</v>
      </c>
      <c r="AB201" s="53" t="s">
        <v>138</v>
      </c>
      <c r="AC201" s="250" t="s">
        <v>204</v>
      </c>
    </row>
    <row r="202" spans="2:29" s="28" customFormat="1" ht="56" x14ac:dyDescent="0.35">
      <c r="B202" s="77">
        <v>20250201</v>
      </c>
      <c r="C202" s="50" t="s">
        <v>209</v>
      </c>
      <c r="D202" s="246" t="s">
        <v>168</v>
      </c>
      <c r="E202" s="51" t="s">
        <v>600</v>
      </c>
      <c r="F202" s="246" t="s">
        <v>752</v>
      </c>
      <c r="G202" s="246" t="s">
        <v>155</v>
      </c>
      <c r="H202" s="93">
        <v>80111600</v>
      </c>
      <c r="I202" s="247">
        <v>2</v>
      </c>
      <c r="J202" s="247">
        <v>11</v>
      </c>
      <c r="K202" s="52">
        <v>0</v>
      </c>
      <c r="L202" s="53">
        <v>45000000</v>
      </c>
      <c r="M202" s="246" t="s">
        <v>464</v>
      </c>
      <c r="N202" s="53" t="s">
        <v>113</v>
      </c>
      <c r="O202" s="51" t="s">
        <v>224</v>
      </c>
      <c r="P202" s="248" t="str">
        <f>IFERROR(VLOOKUP(C202,TD!$B$33:$F$37,2,0)," ")</f>
        <v>O230117</v>
      </c>
      <c r="Q202" s="248" t="str">
        <f>IFERROR(VLOOKUP(C202,TD!$B$33:$F$37,3,0)," ")</f>
        <v>4503</v>
      </c>
      <c r="R202" s="248">
        <f>IFERROR(VLOOKUP(C202,TD!$B$33:$F$37,4,0)," ")</f>
        <v>20240255</v>
      </c>
      <c r="S202" s="51" t="s">
        <v>191</v>
      </c>
      <c r="T202" s="248" t="str">
        <f>IFERROR(VLOOKUP(S202,TD!$J$34:$K$44,2,0)," ")</f>
        <v>Servicio de apoyo   logístico  en eventos operativos y/o emergencias.</v>
      </c>
      <c r="U202" s="249" t="str">
        <f>CONCATENATE(S202,"-",T202)</f>
        <v>12-Servicio de apoyo   logístico  en eventos operativos y/o emergencias.</v>
      </c>
      <c r="V202" s="51" t="s">
        <v>232</v>
      </c>
      <c r="W202" s="248" t="str">
        <f>IFERROR(VLOOKUP(V202,TD!$N$34:$O$46,2,0)," ")</f>
        <v>Servicio de atención a emergencias y desastres</v>
      </c>
      <c r="X202" s="249" t="str">
        <f>CONCATENATE(V202,"_",W202)</f>
        <v>004_Servicio de atención a emergencias y desastres</v>
      </c>
      <c r="Y202" s="249" t="str">
        <f>CONCATENATE(U202," ",X202)</f>
        <v>12-Servicio de apoyo   logístico  en eventos operativos y/o emergencias. 004_Servicio de atención a emergencias y desastres</v>
      </c>
      <c r="Z202" s="248" t="str">
        <f>CONCATENATE(P202,Q202,R202,S202,V202)</f>
        <v>O23011745032024025512004</v>
      </c>
      <c r="AA202" s="248" t="str">
        <f>IFERROR(VLOOKUP(Y202,TD!$K$47:$L$65,2,0)," ")</f>
        <v>PM/0131/0112/45030040255</v>
      </c>
      <c r="AB202" s="53" t="s">
        <v>138</v>
      </c>
      <c r="AC202" s="250" t="s">
        <v>204</v>
      </c>
    </row>
    <row r="203" spans="2:29" s="28" customFormat="1" ht="56" x14ac:dyDescent="0.35">
      <c r="B203" s="77">
        <v>20250202</v>
      </c>
      <c r="C203" s="50" t="s">
        <v>209</v>
      </c>
      <c r="D203" s="246" t="s">
        <v>168</v>
      </c>
      <c r="E203" s="51" t="s">
        <v>600</v>
      </c>
      <c r="F203" s="246" t="s">
        <v>813</v>
      </c>
      <c r="G203" s="246" t="s">
        <v>156</v>
      </c>
      <c r="H203" s="93">
        <v>80111600</v>
      </c>
      <c r="I203" s="247">
        <v>2</v>
      </c>
      <c r="J203" s="247">
        <v>9</v>
      </c>
      <c r="K203" s="52">
        <v>0</v>
      </c>
      <c r="L203" s="53">
        <v>28800000</v>
      </c>
      <c r="M203" s="246" t="s">
        <v>464</v>
      </c>
      <c r="N203" s="53" t="s">
        <v>113</v>
      </c>
      <c r="O203" s="51" t="s">
        <v>224</v>
      </c>
      <c r="P203" s="248" t="str">
        <f>IFERROR(VLOOKUP(C203,TD!$B$33:$F$37,2,0)," ")</f>
        <v>O230117</v>
      </c>
      <c r="Q203" s="248" t="str">
        <f>IFERROR(VLOOKUP(C203,TD!$B$33:$F$37,3,0)," ")</f>
        <v>4503</v>
      </c>
      <c r="R203" s="248">
        <f>IFERROR(VLOOKUP(C203,TD!$B$33:$F$37,4,0)," ")</f>
        <v>20240255</v>
      </c>
      <c r="S203" s="51" t="s">
        <v>191</v>
      </c>
      <c r="T203" s="248" t="str">
        <f>IFERROR(VLOOKUP(S203,TD!$J$34:$K$44,2,0)," ")</f>
        <v>Servicio de apoyo   logístico  en eventos operativos y/o emergencias.</v>
      </c>
      <c r="U203" s="249" t="str">
        <f>CONCATENATE(S203,"-",T203)</f>
        <v>12-Servicio de apoyo   logístico  en eventos operativos y/o emergencias.</v>
      </c>
      <c r="V203" s="51" t="s">
        <v>232</v>
      </c>
      <c r="W203" s="248" t="str">
        <f>IFERROR(VLOOKUP(V203,TD!$N$34:$O$46,2,0)," ")</f>
        <v>Servicio de atención a emergencias y desastres</v>
      </c>
      <c r="X203" s="249" t="str">
        <f>CONCATENATE(V203,"_",W203)</f>
        <v>004_Servicio de atención a emergencias y desastres</v>
      </c>
      <c r="Y203" s="249" t="str">
        <f>CONCATENATE(U203," ",X203)</f>
        <v>12-Servicio de apoyo   logístico  en eventos operativos y/o emergencias. 004_Servicio de atención a emergencias y desastres</v>
      </c>
      <c r="Z203" s="248" t="str">
        <f>CONCATENATE(P203,Q203,R203,S203,V203)</f>
        <v>O23011745032024025512004</v>
      </c>
      <c r="AA203" s="248" t="str">
        <f>IFERROR(VLOOKUP(Y203,TD!$K$47:$L$65,2,0)," ")</f>
        <v>PM/0131/0112/45030040255</v>
      </c>
      <c r="AB203" s="53" t="s">
        <v>138</v>
      </c>
      <c r="AC203" s="250" t="s">
        <v>204</v>
      </c>
    </row>
    <row r="204" spans="2:29" s="28" customFormat="1" ht="42" x14ac:dyDescent="0.35">
      <c r="B204" s="77">
        <v>20250203</v>
      </c>
      <c r="C204" s="50" t="s">
        <v>209</v>
      </c>
      <c r="D204" s="246" t="s">
        <v>168</v>
      </c>
      <c r="E204" s="51" t="s">
        <v>600</v>
      </c>
      <c r="F204" s="246" t="s">
        <v>746</v>
      </c>
      <c r="G204" s="246" t="s">
        <v>155</v>
      </c>
      <c r="H204" s="93">
        <v>80111600</v>
      </c>
      <c r="I204" s="247">
        <v>2</v>
      </c>
      <c r="J204" s="247">
        <v>11</v>
      </c>
      <c r="K204" s="52">
        <v>0</v>
      </c>
      <c r="L204" s="53">
        <v>72000000</v>
      </c>
      <c r="M204" s="246" t="s">
        <v>464</v>
      </c>
      <c r="N204" s="53" t="s">
        <v>113</v>
      </c>
      <c r="O204" s="51" t="s">
        <v>224</v>
      </c>
      <c r="P204" s="248" t="str">
        <f>IFERROR(VLOOKUP(C204,TD!$B$33:$F$37,2,0)," ")</f>
        <v>O230117</v>
      </c>
      <c r="Q204" s="248" t="str">
        <f>IFERROR(VLOOKUP(C204,TD!$B$33:$F$37,3,0)," ")</f>
        <v>4503</v>
      </c>
      <c r="R204" s="248">
        <f>IFERROR(VLOOKUP(C204,TD!$B$33:$F$37,4,0)," ")</f>
        <v>20240255</v>
      </c>
      <c r="S204" s="51" t="s">
        <v>187</v>
      </c>
      <c r="T204" s="248" t="str">
        <f>IFERROR(VLOOKUP(S204,TD!$J$34:$K$44,2,0)," ")</f>
        <v>Servicio de mantenimiento, dotación (HEA´s y equipo menor) y adquisición de vehiculos   especializados para la atención de emergencias.</v>
      </c>
      <c r="U204" s="249" t="str">
        <f>CONCATENATE(S204,"-",T204)</f>
        <v>09-Servicio de mantenimiento, dotación (HEA´s y equipo menor) y adquisición de vehiculos   especializados para la atención de emergencias.</v>
      </c>
      <c r="V204" s="51" t="s">
        <v>232</v>
      </c>
      <c r="W204" s="248" t="str">
        <f>IFERROR(VLOOKUP(V204,TD!$N$34:$O$46,2,0)," ")</f>
        <v>Servicio de atención a emergencias y desastres</v>
      </c>
      <c r="X204" s="249" t="str">
        <f>CONCATENATE(V204,"_",W204)</f>
        <v>004_Servicio de atención a emergencias y desastres</v>
      </c>
      <c r="Y204" s="249" t="str">
        <f>CONCATENATE(U204," ",X204)</f>
        <v>09-Servicio de mantenimiento, dotación (HEA´s y equipo menor) y adquisición de vehiculos   especializados para la atención de emergencias. 004_Servicio de atención a emergencias y desastres</v>
      </c>
      <c r="Z204" s="248" t="str">
        <f>CONCATENATE(P204,Q204,R204,S204,V204)</f>
        <v>O23011745032024025509004</v>
      </c>
      <c r="AA204" s="248" t="str">
        <f>IFERROR(VLOOKUP(Y204,TD!$K$47:$L$65,2,0)," ")</f>
        <v>PM/0131/0109/45030040255</v>
      </c>
      <c r="AB204" s="53" t="s">
        <v>138</v>
      </c>
      <c r="AC204" s="250" t="s">
        <v>204</v>
      </c>
    </row>
    <row r="205" spans="2:29" s="28" customFormat="1" ht="56" x14ac:dyDescent="0.35">
      <c r="B205" s="77">
        <v>20250204</v>
      </c>
      <c r="C205" s="50" t="s">
        <v>209</v>
      </c>
      <c r="D205" s="246" t="s">
        <v>168</v>
      </c>
      <c r="E205" s="51" t="s">
        <v>600</v>
      </c>
      <c r="F205" s="246" t="s">
        <v>884</v>
      </c>
      <c r="G205" s="246" t="s">
        <v>156</v>
      </c>
      <c r="H205" s="93">
        <v>80111600</v>
      </c>
      <c r="I205" s="247">
        <v>2</v>
      </c>
      <c r="J205" s="247">
        <v>9</v>
      </c>
      <c r="K205" s="52">
        <v>0</v>
      </c>
      <c r="L205" s="53">
        <v>28800000</v>
      </c>
      <c r="M205" s="246" t="s">
        <v>464</v>
      </c>
      <c r="N205" s="53" t="s">
        <v>113</v>
      </c>
      <c r="O205" s="51" t="s">
        <v>224</v>
      </c>
      <c r="P205" s="248" t="str">
        <f>IFERROR(VLOOKUP(C205,TD!$B$33:$F$37,2,0)," ")</f>
        <v>O230117</v>
      </c>
      <c r="Q205" s="248" t="str">
        <f>IFERROR(VLOOKUP(C205,TD!$B$33:$F$37,3,0)," ")</f>
        <v>4503</v>
      </c>
      <c r="R205" s="248">
        <f>IFERROR(VLOOKUP(C205,TD!$B$33:$F$37,4,0)," ")</f>
        <v>20240255</v>
      </c>
      <c r="S205" s="51" t="s">
        <v>191</v>
      </c>
      <c r="T205" s="248" t="str">
        <f>IFERROR(VLOOKUP(S205,TD!$J$34:$K$44,2,0)," ")</f>
        <v>Servicio de apoyo   logístico  en eventos operativos y/o emergencias.</v>
      </c>
      <c r="U205" s="249" t="str">
        <f>CONCATENATE(S205,"-",T205)</f>
        <v>12-Servicio de apoyo   logístico  en eventos operativos y/o emergencias.</v>
      </c>
      <c r="V205" s="51" t="s">
        <v>232</v>
      </c>
      <c r="W205" s="248" t="str">
        <f>IFERROR(VLOOKUP(V205,TD!$N$34:$O$46,2,0)," ")</f>
        <v>Servicio de atención a emergencias y desastres</v>
      </c>
      <c r="X205" s="249" t="str">
        <f>CONCATENATE(V205,"_",W205)</f>
        <v>004_Servicio de atención a emergencias y desastres</v>
      </c>
      <c r="Y205" s="249" t="str">
        <f>CONCATENATE(U205," ",X205)</f>
        <v>12-Servicio de apoyo   logístico  en eventos operativos y/o emergencias. 004_Servicio de atención a emergencias y desastres</v>
      </c>
      <c r="Z205" s="248" t="str">
        <f>CONCATENATE(P205,Q205,R205,S205,V205)</f>
        <v>O23011745032024025512004</v>
      </c>
      <c r="AA205" s="248" t="str">
        <f>IFERROR(VLOOKUP(Y205,TD!$K$47:$L$65,2,0)," ")</f>
        <v>PM/0131/0112/45030040255</v>
      </c>
      <c r="AB205" s="53" t="s">
        <v>138</v>
      </c>
      <c r="AC205" s="250" t="s">
        <v>204</v>
      </c>
    </row>
    <row r="206" spans="2:29" s="28" customFormat="1" ht="56" x14ac:dyDescent="0.35">
      <c r="B206" s="77">
        <v>20250205</v>
      </c>
      <c r="C206" s="50" t="s">
        <v>209</v>
      </c>
      <c r="D206" s="246" t="s">
        <v>168</v>
      </c>
      <c r="E206" s="51" t="s">
        <v>600</v>
      </c>
      <c r="F206" s="246" t="s">
        <v>753</v>
      </c>
      <c r="G206" s="246" t="s">
        <v>155</v>
      </c>
      <c r="H206" s="93">
        <v>80111600</v>
      </c>
      <c r="I206" s="247">
        <v>2</v>
      </c>
      <c r="J206" s="247">
        <v>10</v>
      </c>
      <c r="K206" s="52">
        <v>0</v>
      </c>
      <c r="L206" s="53">
        <v>109924440</v>
      </c>
      <c r="M206" s="246" t="s">
        <v>464</v>
      </c>
      <c r="N206" s="53" t="s">
        <v>113</v>
      </c>
      <c r="O206" s="51" t="s">
        <v>224</v>
      </c>
      <c r="P206" s="248" t="str">
        <f>IFERROR(VLOOKUP(C206,TD!$B$33:$F$37,2,0)," ")</f>
        <v>O230117</v>
      </c>
      <c r="Q206" s="248" t="str">
        <f>IFERROR(VLOOKUP(C206,TD!$B$33:$F$37,3,0)," ")</f>
        <v>4503</v>
      </c>
      <c r="R206" s="248">
        <f>IFERROR(VLOOKUP(C206,TD!$B$33:$F$37,4,0)," ")</f>
        <v>20240255</v>
      </c>
      <c r="S206" s="51" t="s">
        <v>191</v>
      </c>
      <c r="T206" s="248" t="str">
        <f>IFERROR(VLOOKUP(S206,TD!$J$34:$K$44,2,0)," ")</f>
        <v>Servicio de apoyo   logístico  en eventos operativos y/o emergencias.</v>
      </c>
      <c r="U206" s="249" t="str">
        <f>CONCATENATE(S206,"-",T206)</f>
        <v>12-Servicio de apoyo   logístico  en eventos operativos y/o emergencias.</v>
      </c>
      <c r="V206" s="51" t="s">
        <v>232</v>
      </c>
      <c r="W206" s="248" t="str">
        <f>IFERROR(VLOOKUP(V206,TD!$N$34:$O$46,2,0)," ")</f>
        <v>Servicio de atención a emergencias y desastres</v>
      </c>
      <c r="X206" s="249" t="str">
        <f>CONCATENATE(V206,"_",W206)</f>
        <v>004_Servicio de atención a emergencias y desastres</v>
      </c>
      <c r="Y206" s="249" t="str">
        <f>CONCATENATE(U206," ",X206)</f>
        <v>12-Servicio de apoyo   logístico  en eventos operativos y/o emergencias. 004_Servicio de atención a emergencias y desastres</v>
      </c>
      <c r="Z206" s="248" t="str">
        <f>CONCATENATE(P206,Q206,R206,S206,V206)</f>
        <v>O23011745032024025512004</v>
      </c>
      <c r="AA206" s="248" t="str">
        <f>IFERROR(VLOOKUP(Y206,TD!$K$47:$L$65,2,0)," ")</f>
        <v>PM/0131/0112/45030040255</v>
      </c>
      <c r="AB206" s="53" t="s">
        <v>138</v>
      </c>
      <c r="AC206" s="250" t="s">
        <v>204</v>
      </c>
    </row>
    <row r="207" spans="2:29" s="28" customFormat="1" ht="56" x14ac:dyDescent="0.35">
      <c r="B207" s="77">
        <v>20250206</v>
      </c>
      <c r="C207" s="50" t="s">
        <v>209</v>
      </c>
      <c r="D207" s="246" t="s">
        <v>168</v>
      </c>
      <c r="E207" s="51" t="s">
        <v>600</v>
      </c>
      <c r="F207" s="246" t="s">
        <v>754</v>
      </c>
      <c r="G207" s="246" t="s">
        <v>155</v>
      </c>
      <c r="H207" s="93">
        <v>80111600</v>
      </c>
      <c r="I207" s="247">
        <v>2</v>
      </c>
      <c r="J207" s="247">
        <v>11</v>
      </c>
      <c r="K207" s="52">
        <v>0</v>
      </c>
      <c r="L207" s="53">
        <v>72000000</v>
      </c>
      <c r="M207" s="246" t="s">
        <v>464</v>
      </c>
      <c r="N207" s="53" t="s">
        <v>113</v>
      </c>
      <c r="O207" s="51" t="s">
        <v>224</v>
      </c>
      <c r="P207" s="248" t="str">
        <f>IFERROR(VLOOKUP(C207,TD!$B$33:$F$37,2,0)," ")</f>
        <v>O230117</v>
      </c>
      <c r="Q207" s="248" t="str">
        <f>IFERROR(VLOOKUP(C207,TD!$B$33:$F$37,3,0)," ")</f>
        <v>4503</v>
      </c>
      <c r="R207" s="248">
        <f>IFERROR(VLOOKUP(C207,TD!$B$33:$F$37,4,0)," ")</f>
        <v>20240255</v>
      </c>
      <c r="S207" s="51" t="s">
        <v>191</v>
      </c>
      <c r="T207" s="248" t="str">
        <f>IFERROR(VLOOKUP(S207,TD!$J$34:$K$44,2,0)," ")</f>
        <v>Servicio de apoyo   logístico  en eventos operativos y/o emergencias.</v>
      </c>
      <c r="U207" s="249" t="str">
        <f>CONCATENATE(S207,"-",T207)</f>
        <v>12-Servicio de apoyo   logístico  en eventos operativos y/o emergencias.</v>
      </c>
      <c r="V207" s="51" t="s">
        <v>232</v>
      </c>
      <c r="W207" s="248" t="str">
        <f>IFERROR(VLOOKUP(V207,TD!$N$34:$O$46,2,0)," ")</f>
        <v>Servicio de atención a emergencias y desastres</v>
      </c>
      <c r="X207" s="249" t="str">
        <f>CONCATENATE(V207,"_",W207)</f>
        <v>004_Servicio de atención a emergencias y desastres</v>
      </c>
      <c r="Y207" s="249" t="str">
        <f>CONCATENATE(U207," ",X207)</f>
        <v>12-Servicio de apoyo   logístico  en eventos operativos y/o emergencias. 004_Servicio de atención a emergencias y desastres</v>
      </c>
      <c r="Z207" s="248" t="str">
        <f>CONCATENATE(P207,Q207,R207,S207,V207)</f>
        <v>O23011745032024025512004</v>
      </c>
      <c r="AA207" s="248" t="str">
        <f>IFERROR(VLOOKUP(Y207,TD!$K$47:$L$65,2,0)," ")</f>
        <v>PM/0131/0112/45030040255</v>
      </c>
      <c r="AB207" s="53" t="s">
        <v>138</v>
      </c>
      <c r="AC207" s="250" t="s">
        <v>204</v>
      </c>
    </row>
    <row r="208" spans="2:29" s="28" customFormat="1" ht="56" x14ac:dyDescent="0.35">
      <c r="B208" s="77">
        <v>20250207</v>
      </c>
      <c r="C208" s="50" t="s">
        <v>209</v>
      </c>
      <c r="D208" s="246" t="s">
        <v>168</v>
      </c>
      <c r="E208" s="51" t="s">
        <v>600</v>
      </c>
      <c r="F208" s="246" t="s">
        <v>748</v>
      </c>
      <c r="G208" s="246" t="s">
        <v>155</v>
      </c>
      <c r="H208" s="93">
        <v>80111600</v>
      </c>
      <c r="I208" s="247">
        <v>2</v>
      </c>
      <c r="J208" s="247">
        <v>8</v>
      </c>
      <c r="K208" s="52">
        <v>0</v>
      </c>
      <c r="L208" s="53">
        <v>52000000</v>
      </c>
      <c r="M208" s="246" t="s">
        <v>464</v>
      </c>
      <c r="N208" s="53" t="s">
        <v>113</v>
      </c>
      <c r="O208" s="51" t="s">
        <v>224</v>
      </c>
      <c r="P208" s="248" t="str">
        <f>IFERROR(VLOOKUP(C208,TD!$B$33:$F$37,2,0)," ")</f>
        <v>O230117</v>
      </c>
      <c r="Q208" s="248" t="str">
        <f>IFERROR(VLOOKUP(C208,TD!$B$33:$F$37,3,0)," ")</f>
        <v>4503</v>
      </c>
      <c r="R208" s="248">
        <f>IFERROR(VLOOKUP(C208,TD!$B$33:$F$37,4,0)," ")</f>
        <v>20240255</v>
      </c>
      <c r="S208" s="51" t="s">
        <v>191</v>
      </c>
      <c r="T208" s="248" t="str">
        <f>IFERROR(VLOOKUP(S208,TD!$J$34:$K$44,2,0)," ")</f>
        <v>Servicio de apoyo   logístico  en eventos operativos y/o emergencias.</v>
      </c>
      <c r="U208" s="249" t="str">
        <f>CONCATENATE(S208,"-",T208)</f>
        <v>12-Servicio de apoyo   logístico  en eventos operativos y/o emergencias.</v>
      </c>
      <c r="V208" s="51" t="s">
        <v>232</v>
      </c>
      <c r="W208" s="248" t="str">
        <f>IFERROR(VLOOKUP(V208,TD!$N$34:$O$46,2,0)," ")</f>
        <v>Servicio de atención a emergencias y desastres</v>
      </c>
      <c r="X208" s="249" t="str">
        <f>CONCATENATE(V208,"_",W208)</f>
        <v>004_Servicio de atención a emergencias y desastres</v>
      </c>
      <c r="Y208" s="249" t="str">
        <f>CONCATENATE(U208," ",X208)</f>
        <v>12-Servicio de apoyo   logístico  en eventos operativos y/o emergencias. 004_Servicio de atención a emergencias y desastres</v>
      </c>
      <c r="Z208" s="248" t="str">
        <f>CONCATENATE(P208,Q208,R208,S208,V208)</f>
        <v>O23011745032024025512004</v>
      </c>
      <c r="AA208" s="248" t="str">
        <f>IFERROR(VLOOKUP(Y208,TD!$K$47:$L$65,2,0)," ")</f>
        <v>PM/0131/0112/45030040255</v>
      </c>
      <c r="AB208" s="53" t="s">
        <v>138</v>
      </c>
      <c r="AC208" s="250" t="s">
        <v>204</v>
      </c>
    </row>
    <row r="209" spans="2:29" s="28" customFormat="1" ht="42" x14ac:dyDescent="0.35">
      <c r="B209" s="77">
        <v>20250208</v>
      </c>
      <c r="C209" s="50" t="s">
        <v>209</v>
      </c>
      <c r="D209" s="246" t="s">
        <v>168</v>
      </c>
      <c r="E209" s="51" t="s">
        <v>600</v>
      </c>
      <c r="F209" s="246" t="s">
        <v>741</v>
      </c>
      <c r="G209" s="246" t="s">
        <v>155</v>
      </c>
      <c r="H209" s="93">
        <v>80111600</v>
      </c>
      <c r="I209" s="247">
        <v>2</v>
      </c>
      <c r="J209" s="247">
        <v>9</v>
      </c>
      <c r="K209" s="52">
        <v>0</v>
      </c>
      <c r="L209" s="53">
        <v>52000000</v>
      </c>
      <c r="M209" s="246" t="s">
        <v>464</v>
      </c>
      <c r="N209" s="53" t="s">
        <v>113</v>
      </c>
      <c r="O209" s="51" t="s">
        <v>224</v>
      </c>
      <c r="P209" s="248" t="str">
        <f>IFERROR(VLOOKUP(C209,TD!$B$33:$F$37,2,0)," ")</f>
        <v>O230117</v>
      </c>
      <c r="Q209" s="248" t="str">
        <f>IFERROR(VLOOKUP(C209,TD!$B$33:$F$37,3,0)," ")</f>
        <v>4503</v>
      </c>
      <c r="R209" s="248">
        <f>IFERROR(VLOOKUP(C209,TD!$B$33:$F$37,4,0)," ")</f>
        <v>20240255</v>
      </c>
      <c r="S209" s="51" t="s">
        <v>191</v>
      </c>
      <c r="T209" s="248" t="str">
        <f>IFERROR(VLOOKUP(S209,TD!$J$34:$K$44,2,0)," ")</f>
        <v>Servicio de apoyo   logístico  en eventos operativos y/o emergencias.</v>
      </c>
      <c r="U209" s="249" t="str">
        <f>CONCATENATE(S209,"-",T209)</f>
        <v>12-Servicio de apoyo   logístico  en eventos operativos y/o emergencias.</v>
      </c>
      <c r="V209" s="51" t="s">
        <v>232</v>
      </c>
      <c r="W209" s="248" t="str">
        <f>IFERROR(VLOOKUP(V209,TD!$N$34:$O$46,2,0)," ")</f>
        <v>Servicio de atención a emergencias y desastres</v>
      </c>
      <c r="X209" s="249" t="str">
        <f>CONCATENATE(V209,"_",W209)</f>
        <v>004_Servicio de atención a emergencias y desastres</v>
      </c>
      <c r="Y209" s="249" t="str">
        <f>CONCATENATE(U209," ",X209)</f>
        <v>12-Servicio de apoyo   logístico  en eventos operativos y/o emergencias. 004_Servicio de atención a emergencias y desastres</v>
      </c>
      <c r="Z209" s="248" t="str">
        <f>CONCATENATE(P209,Q209,R209,S209,V209)</f>
        <v>O23011745032024025512004</v>
      </c>
      <c r="AA209" s="248" t="str">
        <f>IFERROR(VLOOKUP(Y209,TD!$K$47:$L$65,2,0)," ")</f>
        <v>PM/0131/0112/45030040255</v>
      </c>
      <c r="AB209" s="53" t="s">
        <v>138</v>
      </c>
      <c r="AC209" s="250" t="s">
        <v>204</v>
      </c>
    </row>
    <row r="210" spans="2:29" s="28" customFormat="1" ht="42" x14ac:dyDescent="0.35">
      <c r="B210" s="77">
        <v>20250209</v>
      </c>
      <c r="C210" s="50" t="s">
        <v>209</v>
      </c>
      <c r="D210" s="246" t="s">
        <v>168</v>
      </c>
      <c r="E210" s="51" t="s">
        <v>600</v>
      </c>
      <c r="F210" s="246" t="s">
        <v>755</v>
      </c>
      <c r="G210" s="246" t="s">
        <v>156</v>
      </c>
      <c r="H210" s="93">
        <v>80111600</v>
      </c>
      <c r="I210" s="247">
        <v>2</v>
      </c>
      <c r="J210" s="247">
        <v>10</v>
      </c>
      <c r="K210" s="52">
        <v>0</v>
      </c>
      <c r="L210" s="53">
        <v>26240000</v>
      </c>
      <c r="M210" s="246" t="s">
        <v>464</v>
      </c>
      <c r="N210" s="53" t="s">
        <v>113</v>
      </c>
      <c r="O210" s="51" t="s">
        <v>224</v>
      </c>
      <c r="P210" s="248" t="str">
        <f>IFERROR(VLOOKUP(C210,TD!$B$33:$F$37,2,0)," ")</f>
        <v>O230117</v>
      </c>
      <c r="Q210" s="248" t="str">
        <f>IFERROR(VLOOKUP(C210,TD!$B$33:$F$37,3,0)," ")</f>
        <v>4503</v>
      </c>
      <c r="R210" s="248">
        <f>IFERROR(VLOOKUP(C210,TD!$B$33:$F$37,4,0)," ")</f>
        <v>20240255</v>
      </c>
      <c r="S210" s="51" t="s">
        <v>191</v>
      </c>
      <c r="T210" s="248" t="str">
        <f>IFERROR(VLOOKUP(S210,TD!$J$34:$K$44,2,0)," ")</f>
        <v>Servicio de apoyo   logístico  en eventos operativos y/o emergencias.</v>
      </c>
      <c r="U210" s="249" t="str">
        <f>CONCATENATE(S210,"-",T210)</f>
        <v>12-Servicio de apoyo   logístico  en eventos operativos y/o emergencias.</v>
      </c>
      <c r="V210" s="51" t="s">
        <v>232</v>
      </c>
      <c r="W210" s="248" t="str">
        <f>IFERROR(VLOOKUP(V210,TD!$N$34:$O$46,2,0)," ")</f>
        <v>Servicio de atención a emergencias y desastres</v>
      </c>
      <c r="X210" s="249" t="str">
        <f>CONCATENATE(V210,"_",W210)</f>
        <v>004_Servicio de atención a emergencias y desastres</v>
      </c>
      <c r="Y210" s="249" t="str">
        <f>CONCATENATE(U210," ",X210)</f>
        <v>12-Servicio de apoyo   logístico  en eventos operativos y/o emergencias. 004_Servicio de atención a emergencias y desastres</v>
      </c>
      <c r="Z210" s="248" t="str">
        <f>CONCATENATE(P210,Q210,R210,S210,V210)</f>
        <v>O23011745032024025512004</v>
      </c>
      <c r="AA210" s="248" t="str">
        <f>IFERROR(VLOOKUP(Y210,TD!$K$47:$L$65,2,0)," ")</f>
        <v>PM/0131/0112/45030040255</v>
      </c>
      <c r="AB210" s="53" t="s">
        <v>138</v>
      </c>
      <c r="AC210" s="250" t="s">
        <v>204</v>
      </c>
    </row>
    <row r="211" spans="2:29" s="28" customFormat="1" ht="56" x14ac:dyDescent="0.35">
      <c r="B211" s="77">
        <v>20250210</v>
      </c>
      <c r="C211" s="50" t="s">
        <v>209</v>
      </c>
      <c r="D211" s="246" t="s">
        <v>168</v>
      </c>
      <c r="E211" s="51" t="s">
        <v>600</v>
      </c>
      <c r="F211" s="246" t="s">
        <v>756</v>
      </c>
      <c r="G211" s="246" t="s">
        <v>155</v>
      </c>
      <c r="H211" s="93">
        <v>80111600</v>
      </c>
      <c r="I211" s="247">
        <v>2</v>
      </c>
      <c r="J211" s="247">
        <v>10</v>
      </c>
      <c r="K211" s="52">
        <v>0</v>
      </c>
      <c r="L211" s="53">
        <v>56000000</v>
      </c>
      <c r="M211" s="246" t="s">
        <v>464</v>
      </c>
      <c r="N211" s="53" t="s">
        <v>113</v>
      </c>
      <c r="O211" s="51" t="s">
        <v>224</v>
      </c>
      <c r="P211" s="248" t="str">
        <f>IFERROR(VLOOKUP(C211,TD!$B$33:$F$37,2,0)," ")</f>
        <v>O230117</v>
      </c>
      <c r="Q211" s="248" t="str">
        <f>IFERROR(VLOOKUP(C211,TD!$B$33:$F$37,3,0)," ")</f>
        <v>4503</v>
      </c>
      <c r="R211" s="248">
        <f>IFERROR(VLOOKUP(C211,TD!$B$33:$F$37,4,0)," ")</f>
        <v>20240255</v>
      </c>
      <c r="S211" s="51" t="s">
        <v>191</v>
      </c>
      <c r="T211" s="248" t="str">
        <f>IFERROR(VLOOKUP(S211,TD!$J$34:$K$44,2,0)," ")</f>
        <v>Servicio de apoyo   logístico  en eventos operativos y/o emergencias.</v>
      </c>
      <c r="U211" s="249" t="str">
        <f>CONCATENATE(S211,"-",T211)</f>
        <v>12-Servicio de apoyo   logístico  en eventos operativos y/o emergencias.</v>
      </c>
      <c r="V211" s="51" t="s">
        <v>232</v>
      </c>
      <c r="W211" s="248" t="str">
        <f>IFERROR(VLOOKUP(V211,TD!$N$34:$O$46,2,0)," ")</f>
        <v>Servicio de atención a emergencias y desastres</v>
      </c>
      <c r="X211" s="249" t="str">
        <f>CONCATENATE(V211,"_",W211)</f>
        <v>004_Servicio de atención a emergencias y desastres</v>
      </c>
      <c r="Y211" s="249" t="str">
        <f>CONCATENATE(U211," ",X211)</f>
        <v>12-Servicio de apoyo   logístico  en eventos operativos y/o emergencias. 004_Servicio de atención a emergencias y desastres</v>
      </c>
      <c r="Z211" s="248" t="str">
        <f>CONCATENATE(P211,Q211,R211,S211,V211)</f>
        <v>O23011745032024025512004</v>
      </c>
      <c r="AA211" s="248" t="str">
        <f>IFERROR(VLOOKUP(Y211,TD!$K$47:$L$65,2,0)," ")</f>
        <v>PM/0131/0112/45030040255</v>
      </c>
      <c r="AB211" s="53" t="s">
        <v>138</v>
      </c>
      <c r="AC211" s="250" t="s">
        <v>204</v>
      </c>
    </row>
    <row r="212" spans="2:29" s="28" customFormat="1" ht="56" x14ac:dyDescent="0.35">
      <c r="B212" s="77">
        <v>20250211</v>
      </c>
      <c r="C212" s="50" t="s">
        <v>209</v>
      </c>
      <c r="D212" s="246" t="s">
        <v>168</v>
      </c>
      <c r="E212" s="51" t="s">
        <v>600</v>
      </c>
      <c r="F212" s="246" t="s">
        <v>741</v>
      </c>
      <c r="G212" s="246" t="s">
        <v>156</v>
      </c>
      <c r="H212" s="93">
        <v>80111600</v>
      </c>
      <c r="I212" s="247">
        <v>2</v>
      </c>
      <c r="J212" s="247">
        <v>10</v>
      </c>
      <c r="K212" s="52">
        <v>0</v>
      </c>
      <c r="L212" s="53">
        <v>15633333</v>
      </c>
      <c r="M212" s="246" t="s">
        <v>464</v>
      </c>
      <c r="N212" s="53" t="s">
        <v>113</v>
      </c>
      <c r="O212" s="51" t="s">
        <v>224</v>
      </c>
      <c r="P212" s="248" t="str">
        <f>IFERROR(VLOOKUP(C212,TD!$B$33:$F$37,2,0)," ")</f>
        <v>O230117</v>
      </c>
      <c r="Q212" s="248" t="str">
        <f>IFERROR(VLOOKUP(C212,TD!$B$33:$F$37,3,0)," ")</f>
        <v>4503</v>
      </c>
      <c r="R212" s="248">
        <f>IFERROR(VLOOKUP(C212,TD!$B$33:$F$37,4,0)," ")</f>
        <v>20240255</v>
      </c>
      <c r="S212" s="51" t="s">
        <v>191</v>
      </c>
      <c r="T212" s="248" t="str">
        <f>IFERROR(VLOOKUP(S212,TD!$J$34:$K$44,2,0)," ")</f>
        <v>Servicio de apoyo   logístico  en eventos operativos y/o emergencias.</v>
      </c>
      <c r="U212" s="249" t="str">
        <f>CONCATENATE(S212,"-",T212)</f>
        <v>12-Servicio de apoyo   logístico  en eventos operativos y/o emergencias.</v>
      </c>
      <c r="V212" s="51" t="s">
        <v>232</v>
      </c>
      <c r="W212" s="248" t="str">
        <f>IFERROR(VLOOKUP(V212,TD!$N$34:$O$46,2,0)," ")</f>
        <v>Servicio de atención a emergencias y desastres</v>
      </c>
      <c r="X212" s="249" t="str">
        <f>CONCATENATE(V212,"_",W212)</f>
        <v>004_Servicio de atención a emergencias y desastres</v>
      </c>
      <c r="Y212" s="249" t="str">
        <f>CONCATENATE(U212," ",X212)</f>
        <v>12-Servicio de apoyo   logístico  en eventos operativos y/o emergencias. 004_Servicio de atención a emergencias y desastres</v>
      </c>
      <c r="Z212" s="248" t="str">
        <f>CONCATENATE(P212,Q212,R212,S212,V212)</f>
        <v>O23011745032024025512004</v>
      </c>
      <c r="AA212" s="248" t="str">
        <f>IFERROR(VLOOKUP(Y212,TD!$K$47:$L$65,2,0)," ")</f>
        <v>PM/0131/0112/45030040255</v>
      </c>
      <c r="AB212" s="53" t="s">
        <v>138</v>
      </c>
      <c r="AC212" s="250" t="s">
        <v>204</v>
      </c>
    </row>
    <row r="213" spans="2:29" s="28" customFormat="1" ht="42" x14ac:dyDescent="0.35">
      <c r="B213" s="77">
        <v>20250212</v>
      </c>
      <c r="C213" s="50" t="s">
        <v>209</v>
      </c>
      <c r="D213" s="246" t="s">
        <v>168</v>
      </c>
      <c r="E213" s="51" t="s">
        <v>600</v>
      </c>
      <c r="F213" s="246" t="s">
        <v>814</v>
      </c>
      <c r="G213" s="246" t="s">
        <v>155</v>
      </c>
      <c r="H213" s="93">
        <v>80111600</v>
      </c>
      <c r="I213" s="247">
        <v>2</v>
      </c>
      <c r="J213" s="247">
        <v>7</v>
      </c>
      <c r="K213" s="52">
        <v>0</v>
      </c>
      <c r="L213" s="53">
        <v>56000000</v>
      </c>
      <c r="M213" s="246" t="s">
        <v>464</v>
      </c>
      <c r="N213" s="53" t="s">
        <v>113</v>
      </c>
      <c r="O213" s="51" t="s">
        <v>224</v>
      </c>
      <c r="P213" s="248" t="str">
        <f>IFERROR(VLOOKUP(C213,TD!$B$33:$F$37,2,0)," ")</f>
        <v>O230117</v>
      </c>
      <c r="Q213" s="248" t="str">
        <f>IFERROR(VLOOKUP(C213,TD!$B$33:$F$37,3,0)," ")</f>
        <v>4503</v>
      </c>
      <c r="R213" s="248">
        <f>IFERROR(VLOOKUP(C213,TD!$B$33:$F$37,4,0)," ")</f>
        <v>20240255</v>
      </c>
      <c r="S213" s="51" t="s">
        <v>191</v>
      </c>
      <c r="T213" s="248" t="str">
        <f>IFERROR(VLOOKUP(S213,TD!$J$34:$K$44,2,0)," ")</f>
        <v>Servicio de apoyo   logístico  en eventos operativos y/o emergencias.</v>
      </c>
      <c r="U213" s="249" t="str">
        <f>CONCATENATE(S213,"-",T213)</f>
        <v>12-Servicio de apoyo   logístico  en eventos operativos y/o emergencias.</v>
      </c>
      <c r="V213" s="51" t="s">
        <v>232</v>
      </c>
      <c r="W213" s="248" t="str">
        <f>IFERROR(VLOOKUP(V213,TD!$N$34:$O$46,2,0)," ")</f>
        <v>Servicio de atención a emergencias y desastres</v>
      </c>
      <c r="X213" s="249" t="str">
        <f>CONCATENATE(V213,"_",W213)</f>
        <v>004_Servicio de atención a emergencias y desastres</v>
      </c>
      <c r="Y213" s="249" t="str">
        <f>CONCATENATE(U213," ",X213)</f>
        <v>12-Servicio de apoyo   logístico  en eventos operativos y/o emergencias. 004_Servicio de atención a emergencias y desastres</v>
      </c>
      <c r="Z213" s="248" t="str">
        <f>CONCATENATE(P213,Q213,R213,S213,V213)</f>
        <v>O23011745032024025512004</v>
      </c>
      <c r="AA213" s="248" t="str">
        <f>IFERROR(VLOOKUP(Y213,TD!$K$47:$L$65,2,0)," ")</f>
        <v>PM/0131/0112/45030040255</v>
      </c>
      <c r="AB213" s="53" t="s">
        <v>138</v>
      </c>
      <c r="AC213" s="250" t="s">
        <v>204</v>
      </c>
    </row>
    <row r="214" spans="2:29" s="28" customFormat="1" ht="42" x14ac:dyDescent="0.35">
      <c r="B214" s="77">
        <v>20250213</v>
      </c>
      <c r="C214" s="50" t="s">
        <v>209</v>
      </c>
      <c r="D214" s="246" t="s">
        <v>168</v>
      </c>
      <c r="E214" s="51" t="s">
        <v>600</v>
      </c>
      <c r="F214" s="246" t="s">
        <v>757</v>
      </c>
      <c r="G214" s="246" t="s">
        <v>155</v>
      </c>
      <c r="H214" s="93">
        <v>80111600</v>
      </c>
      <c r="I214" s="247">
        <v>2</v>
      </c>
      <c r="J214" s="247">
        <v>11</v>
      </c>
      <c r="K214" s="52">
        <v>0</v>
      </c>
      <c r="L214" s="53">
        <v>30000000</v>
      </c>
      <c r="M214" s="246" t="s">
        <v>464</v>
      </c>
      <c r="N214" s="53" t="s">
        <v>113</v>
      </c>
      <c r="O214" s="51" t="s">
        <v>224</v>
      </c>
      <c r="P214" s="248" t="str">
        <f>IFERROR(VLOOKUP(C214,TD!$B$33:$F$37,2,0)," ")</f>
        <v>O230117</v>
      </c>
      <c r="Q214" s="248" t="str">
        <f>IFERROR(VLOOKUP(C214,TD!$B$33:$F$37,3,0)," ")</f>
        <v>4503</v>
      </c>
      <c r="R214" s="248">
        <f>IFERROR(VLOOKUP(C214,TD!$B$33:$F$37,4,0)," ")</f>
        <v>20240255</v>
      </c>
      <c r="S214" s="51" t="s">
        <v>187</v>
      </c>
      <c r="T214" s="248" t="str">
        <f>IFERROR(VLOOKUP(S214,TD!$J$34:$K$44,2,0)," ")</f>
        <v>Servicio de mantenimiento, dotación (HEA´s y equipo menor) y adquisición de vehiculos   especializados para la atención de emergencias.</v>
      </c>
      <c r="U214" s="249" t="str">
        <f>CONCATENATE(S214,"-",T214)</f>
        <v>09-Servicio de mantenimiento, dotación (HEA´s y equipo menor) y adquisición de vehiculos   especializados para la atención de emergencias.</v>
      </c>
      <c r="V214" s="51" t="s">
        <v>232</v>
      </c>
      <c r="W214" s="248" t="str">
        <f>IFERROR(VLOOKUP(V214,TD!$N$34:$O$46,2,0)," ")</f>
        <v>Servicio de atención a emergencias y desastres</v>
      </c>
      <c r="X214" s="249" t="str">
        <f>CONCATENATE(V214,"_",W214)</f>
        <v>004_Servicio de atención a emergencias y desastres</v>
      </c>
      <c r="Y214" s="249" t="str">
        <f>CONCATENATE(U214," ",X214)</f>
        <v>09-Servicio de mantenimiento, dotación (HEA´s y equipo menor) y adquisición de vehiculos   especializados para la atención de emergencias. 004_Servicio de atención a emergencias y desastres</v>
      </c>
      <c r="Z214" s="248" t="str">
        <f>CONCATENATE(P214,Q214,R214,S214,V214)</f>
        <v>O23011745032024025509004</v>
      </c>
      <c r="AA214" s="248" t="str">
        <f>IFERROR(VLOOKUP(Y214,TD!$K$47:$L$65,2,0)," ")</f>
        <v>PM/0131/0109/45030040255</v>
      </c>
      <c r="AB214" s="53" t="s">
        <v>138</v>
      </c>
      <c r="AC214" s="250" t="s">
        <v>204</v>
      </c>
    </row>
    <row r="215" spans="2:29" s="28" customFormat="1" ht="56" x14ac:dyDescent="0.35">
      <c r="B215" s="77">
        <v>20250214</v>
      </c>
      <c r="C215" s="50" t="s">
        <v>209</v>
      </c>
      <c r="D215" s="246" t="s">
        <v>168</v>
      </c>
      <c r="E215" s="51" t="s">
        <v>600</v>
      </c>
      <c r="F215" s="246" t="s">
        <v>758</v>
      </c>
      <c r="G215" s="246" t="s">
        <v>155</v>
      </c>
      <c r="H215" s="93">
        <v>80111600</v>
      </c>
      <c r="I215" s="247">
        <v>2</v>
      </c>
      <c r="J215" s="247">
        <v>9</v>
      </c>
      <c r="K215" s="52">
        <v>0</v>
      </c>
      <c r="L215" s="53">
        <v>27000000</v>
      </c>
      <c r="M215" s="246" t="s">
        <v>464</v>
      </c>
      <c r="N215" s="53" t="s">
        <v>113</v>
      </c>
      <c r="O215" s="51" t="s">
        <v>224</v>
      </c>
      <c r="P215" s="248" t="str">
        <f>IFERROR(VLOOKUP(C215,TD!$B$33:$F$37,2,0)," ")</f>
        <v>O230117</v>
      </c>
      <c r="Q215" s="248" t="str">
        <f>IFERROR(VLOOKUP(C215,TD!$B$33:$F$37,3,0)," ")</f>
        <v>4503</v>
      </c>
      <c r="R215" s="248">
        <f>IFERROR(VLOOKUP(C215,TD!$B$33:$F$37,4,0)," ")</f>
        <v>20240255</v>
      </c>
      <c r="S215" s="51" t="s">
        <v>191</v>
      </c>
      <c r="T215" s="248" t="str">
        <f>IFERROR(VLOOKUP(S215,TD!$J$34:$K$44,2,0)," ")</f>
        <v>Servicio de apoyo   logístico  en eventos operativos y/o emergencias.</v>
      </c>
      <c r="U215" s="249" t="str">
        <f>CONCATENATE(S215,"-",T215)</f>
        <v>12-Servicio de apoyo   logístico  en eventos operativos y/o emergencias.</v>
      </c>
      <c r="V215" s="51" t="s">
        <v>232</v>
      </c>
      <c r="W215" s="248" t="str">
        <f>IFERROR(VLOOKUP(V215,TD!$N$34:$O$46,2,0)," ")</f>
        <v>Servicio de atención a emergencias y desastres</v>
      </c>
      <c r="X215" s="249" t="str">
        <f>CONCATENATE(V215,"_",W215)</f>
        <v>004_Servicio de atención a emergencias y desastres</v>
      </c>
      <c r="Y215" s="249" t="str">
        <f>CONCATENATE(U215," ",X215)</f>
        <v>12-Servicio de apoyo   logístico  en eventos operativos y/o emergencias. 004_Servicio de atención a emergencias y desastres</v>
      </c>
      <c r="Z215" s="248" t="str">
        <f>CONCATENATE(P215,Q215,R215,S215,V215)</f>
        <v>O23011745032024025512004</v>
      </c>
      <c r="AA215" s="248" t="str">
        <f>IFERROR(VLOOKUP(Y215,TD!$K$47:$L$65,2,0)," ")</f>
        <v>PM/0131/0112/45030040255</v>
      </c>
      <c r="AB215" s="53" t="s">
        <v>138</v>
      </c>
      <c r="AC215" s="250" t="s">
        <v>204</v>
      </c>
    </row>
    <row r="216" spans="2:29" s="28" customFormat="1" ht="56" x14ac:dyDescent="0.35">
      <c r="B216" s="77">
        <v>20250215</v>
      </c>
      <c r="C216" s="50" t="s">
        <v>209</v>
      </c>
      <c r="D216" s="246" t="s">
        <v>168</v>
      </c>
      <c r="E216" s="51" t="s">
        <v>600</v>
      </c>
      <c r="F216" s="246" t="s">
        <v>759</v>
      </c>
      <c r="G216" s="246" t="s">
        <v>155</v>
      </c>
      <c r="H216" s="93">
        <v>80111600</v>
      </c>
      <c r="I216" s="247">
        <v>2</v>
      </c>
      <c r="J216" s="247">
        <v>10</v>
      </c>
      <c r="K216" s="52">
        <v>0</v>
      </c>
      <c r="L216" s="53">
        <v>16800000</v>
      </c>
      <c r="M216" s="246" t="s">
        <v>464</v>
      </c>
      <c r="N216" s="53" t="s">
        <v>113</v>
      </c>
      <c r="O216" s="51" t="s">
        <v>224</v>
      </c>
      <c r="P216" s="248" t="str">
        <f>IFERROR(VLOOKUP(C216,TD!$B$33:$F$37,2,0)," ")</f>
        <v>O230117</v>
      </c>
      <c r="Q216" s="248" t="str">
        <f>IFERROR(VLOOKUP(C216,TD!$B$33:$F$37,3,0)," ")</f>
        <v>4503</v>
      </c>
      <c r="R216" s="248">
        <f>IFERROR(VLOOKUP(C216,TD!$B$33:$F$37,4,0)," ")</f>
        <v>20240255</v>
      </c>
      <c r="S216" s="51" t="s">
        <v>191</v>
      </c>
      <c r="T216" s="248" t="str">
        <f>IFERROR(VLOOKUP(S216,TD!$J$34:$K$44,2,0)," ")</f>
        <v>Servicio de apoyo   logístico  en eventos operativos y/o emergencias.</v>
      </c>
      <c r="U216" s="249" t="str">
        <f>CONCATENATE(S216,"-",T216)</f>
        <v>12-Servicio de apoyo   logístico  en eventos operativos y/o emergencias.</v>
      </c>
      <c r="V216" s="51" t="s">
        <v>232</v>
      </c>
      <c r="W216" s="248" t="str">
        <f>IFERROR(VLOOKUP(V216,TD!$N$34:$O$46,2,0)," ")</f>
        <v>Servicio de atención a emergencias y desastres</v>
      </c>
      <c r="X216" s="249" t="str">
        <f>CONCATENATE(V216,"_",W216)</f>
        <v>004_Servicio de atención a emergencias y desastres</v>
      </c>
      <c r="Y216" s="249" t="str">
        <f>CONCATENATE(U216," ",X216)</f>
        <v>12-Servicio de apoyo   logístico  en eventos operativos y/o emergencias. 004_Servicio de atención a emergencias y desastres</v>
      </c>
      <c r="Z216" s="248" t="str">
        <f>CONCATENATE(P216,Q216,R216,S216,V216)</f>
        <v>O23011745032024025512004</v>
      </c>
      <c r="AA216" s="248" t="str">
        <f>IFERROR(VLOOKUP(Y216,TD!$K$47:$L$65,2,0)," ")</f>
        <v>PM/0131/0112/45030040255</v>
      </c>
      <c r="AB216" s="53" t="s">
        <v>138</v>
      </c>
      <c r="AC216" s="250" t="s">
        <v>204</v>
      </c>
    </row>
    <row r="217" spans="2:29" s="28" customFormat="1" ht="56" x14ac:dyDescent="0.35">
      <c r="B217" s="77">
        <v>20250216</v>
      </c>
      <c r="C217" s="50" t="s">
        <v>209</v>
      </c>
      <c r="D217" s="246" t="s">
        <v>168</v>
      </c>
      <c r="E217" s="51" t="s">
        <v>600</v>
      </c>
      <c r="F217" s="246" t="s">
        <v>760</v>
      </c>
      <c r="G217" s="246" t="s">
        <v>155</v>
      </c>
      <c r="H217" s="93">
        <v>80111600</v>
      </c>
      <c r="I217" s="247">
        <v>2</v>
      </c>
      <c r="J217" s="247">
        <v>10</v>
      </c>
      <c r="K217" s="52">
        <v>0</v>
      </c>
      <c r="L217" s="53">
        <v>22500000</v>
      </c>
      <c r="M217" s="246" t="s">
        <v>464</v>
      </c>
      <c r="N217" s="53" t="s">
        <v>113</v>
      </c>
      <c r="O217" s="51" t="s">
        <v>224</v>
      </c>
      <c r="P217" s="248" t="str">
        <f>IFERROR(VLOOKUP(C217,TD!$B$33:$F$37,2,0)," ")</f>
        <v>O230117</v>
      </c>
      <c r="Q217" s="248" t="str">
        <f>IFERROR(VLOOKUP(C217,TD!$B$33:$F$37,3,0)," ")</f>
        <v>4503</v>
      </c>
      <c r="R217" s="248">
        <f>IFERROR(VLOOKUP(C217,TD!$B$33:$F$37,4,0)," ")</f>
        <v>20240255</v>
      </c>
      <c r="S217" s="51" t="s">
        <v>191</v>
      </c>
      <c r="T217" s="248" t="str">
        <f>IFERROR(VLOOKUP(S217,TD!$J$34:$K$44,2,0)," ")</f>
        <v>Servicio de apoyo   logístico  en eventos operativos y/o emergencias.</v>
      </c>
      <c r="U217" s="249" t="str">
        <f>CONCATENATE(S217,"-",T217)</f>
        <v>12-Servicio de apoyo   logístico  en eventos operativos y/o emergencias.</v>
      </c>
      <c r="V217" s="51" t="s">
        <v>232</v>
      </c>
      <c r="W217" s="248" t="str">
        <f>IFERROR(VLOOKUP(V217,TD!$N$34:$O$46,2,0)," ")</f>
        <v>Servicio de atención a emergencias y desastres</v>
      </c>
      <c r="X217" s="249" t="str">
        <f>CONCATENATE(V217,"_",W217)</f>
        <v>004_Servicio de atención a emergencias y desastres</v>
      </c>
      <c r="Y217" s="249" t="str">
        <f>CONCATENATE(U217," ",X217)</f>
        <v>12-Servicio de apoyo   logístico  en eventos operativos y/o emergencias. 004_Servicio de atención a emergencias y desastres</v>
      </c>
      <c r="Z217" s="248" t="str">
        <f>CONCATENATE(P217,Q217,R217,S217,V217)</f>
        <v>O23011745032024025512004</v>
      </c>
      <c r="AA217" s="248" t="str">
        <f>IFERROR(VLOOKUP(Y217,TD!$K$47:$L$65,2,0)," ")</f>
        <v>PM/0131/0112/45030040255</v>
      </c>
      <c r="AB217" s="53" t="s">
        <v>138</v>
      </c>
      <c r="AC217" s="250" t="s">
        <v>204</v>
      </c>
    </row>
    <row r="218" spans="2:29" s="28" customFormat="1" ht="70" x14ac:dyDescent="0.35">
      <c r="B218" s="77">
        <v>20250218</v>
      </c>
      <c r="C218" s="50" t="s">
        <v>209</v>
      </c>
      <c r="D218" s="246" t="s">
        <v>168</v>
      </c>
      <c r="E218" s="51" t="s">
        <v>600</v>
      </c>
      <c r="F218" s="246" t="s">
        <v>815</v>
      </c>
      <c r="G218" s="246" t="s">
        <v>156</v>
      </c>
      <c r="H218" s="93">
        <v>80111600</v>
      </c>
      <c r="I218" s="247">
        <v>2</v>
      </c>
      <c r="J218" s="247">
        <v>9</v>
      </c>
      <c r="K218" s="52">
        <v>0</v>
      </c>
      <c r="L218" s="53">
        <v>28000000</v>
      </c>
      <c r="M218" s="246" t="s">
        <v>464</v>
      </c>
      <c r="N218" s="53" t="s">
        <v>113</v>
      </c>
      <c r="O218" s="51" t="s">
        <v>224</v>
      </c>
      <c r="P218" s="248" t="str">
        <f>IFERROR(VLOOKUP(C218,TD!$B$33:$F$37,2,0)," ")</f>
        <v>O230117</v>
      </c>
      <c r="Q218" s="248" t="str">
        <f>IFERROR(VLOOKUP(C218,TD!$B$33:$F$37,3,0)," ")</f>
        <v>4503</v>
      </c>
      <c r="R218" s="248">
        <f>IFERROR(VLOOKUP(C218,TD!$B$33:$F$37,4,0)," ")</f>
        <v>20240255</v>
      </c>
      <c r="S218" s="51" t="s">
        <v>191</v>
      </c>
      <c r="T218" s="248" t="str">
        <f>IFERROR(VLOOKUP(S218,TD!$J$34:$K$44,2,0)," ")</f>
        <v>Servicio de apoyo   logístico  en eventos operativos y/o emergencias.</v>
      </c>
      <c r="U218" s="249" t="str">
        <f>CONCATENATE(S218,"-",T218)</f>
        <v>12-Servicio de apoyo   logístico  en eventos operativos y/o emergencias.</v>
      </c>
      <c r="V218" s="51" t="s">
        <v>232</v>
      </c>
      <c r="W218" s="248" t="str">
        <f>IFERROR(VLOOKUP(V218,TD!$N$34:$O$46,2,0)," ")</f>
        <v>Servicio de atención a emergencias y desastres</v>
      </c>
      <c r="X218" s="249" t="str">
        <f>CONCATENATE(V218,"_",W218)</f>
        <v>004_Servicio de atención a emergencias y desastres</v>
      </c>
      <c r="Y218" s="249" t="str">
        <f>CONCATENATE(U218," ",X218)</f>
        <v>12-Servicio de apoyo   logístico  en eventos operativos y/o emergencias. 004_Servicio de atención a emergencias y desastres</v>
      </c>
      <c r="Z218" s="248" t="str">
        <f>CONCATENATE(P218,Q218,R218,S218,V218)</f>
        <v>O23011745032024025512004</v>
      </c>
      <c r="AA218" s="248" t="str">
        <f>IFERROR(VLOOKUP(Y218,TD!$K$47:$L$65,2,0)," ")</f>
        <v>PM/0131/0112/45030040255</v>
      </c>
      <c r="AB218" s="53" t="s">
        <v>138</v>
      </c>
      <c r="AC218" s="250" t="s">
        <v>204</v>
      </c>
    </row>
    <row r="219" spans="2:29" s="28" customFormat="1" ht="56" x14ac:dyDescent="0.35">
      <c r="B219" s="77">
        <v>20250220</v>
      </c>
      <c r="C219" s="50" t="s">
        <v>209</v>
      </c>
      <c r="D219" s="246" t="s">
        <v>168</v>
      </c>
      <c r="E219" s="51" t="s">
        <v>600</v>
      </c>
      <c r="F219" s="246" t="s">
        <v>761</v>
      </c>
      <c r="G219" s="246" t="s">
        <v>155</v>
      </c>
      <c r="H219" s="93">
        <v>80111600</v>
      </c>
      <c r="I219" s="247">
        <v>2</v>
      </c>
      <c r="J219" s="247">
        <v>11</v>
      </c>
      <c r="K219" s="52">
        <v>0</v>
      </c>
      <c r="L219" s="53">
        <v>7050000</v>
      </c>
      <c r="M219" s="246" t="s">
        <v>464</v>
      </c>
      <c r="N219" s="53" t="s">
        <v>113</v>
      </c>
      <c r="O219" s="51" t="s">
        <v>224</v>
      </c>
      <c r="P219" s="248" t="str">
        <f>IFERROR(VLOOKUP(C219,TD!$B$33:$F$37,2,0)," ")</f>
        <v>O230117</v>
      </c>
      <c r="Q219" s="248" t="str">
        <f>IFERROR(VLOOKUP(C219,TD!$B$33:$F$37,3,0)," ")</f>
        <v>4503</v>
      </c>
      <c r="R219" s="248">
        <f>IFERROR(VLOOKUP(C219,TD!$B$33:$F$37,4,0)," ")</f>
        <v>20240255</v>
      </c>
      <c r="S219" s="51" t="s">
        <v>191</v>
      </c>
      <c r="T219" s="248" t="str">
        <f>IFERROR(VLOOKUP(S219,TD!$J$34:$K$44,2,0)," ")</f>
        <v>Servicio de apoyo   logístico  en eventos operativos y/o emergencias.</v>
      </c>
      <c r="U219" s="249" t="str">
        <f>CONCATENATE(S219,"-",T219)</f>
        <v>12-Servicio de apoyo   logístico  en eventos operativos y/o emergencias.</v>
      </c>
      <c r="V219" s="51" t="s">
        <v>232</v>
      </c>
      <c r="W219" s="248" t="str">
        <f>IFERROR(VLOOKUP(V219,TD!$N$34:$O$46,2,0)," ")</f>
        <v>Servicio de atención a emergencias y desastres</v>
      </c>
      <c r="X219" s="249" t="str">
        <f>CONCATENATE(V219,"_",W219)</f>
        <v>004_Servicio de atención a emergencias y desastres</v>
      </c>
      <c r="Y219" s="249" t="str">
        <f>CONCATENATE(U219," ",X219)</f>
        <v>12-Servicio de apoyo   logístico  en eventos operativos y/o emergencias. 004_Servicio de atención a emergencias y desastres</v>
      </c>
      <c r="Z219" s="248" t="str">
        <f>CONCATENATE(P219,Q219,R219,S219,V219)</f>
        <v>O23011745032024025512004</v>
      </c>
      <c r="AA219" s="248" t="str">
        <f>IFERROR(VLOOKUP(Y219,TD!$K$47:$L$65,2,0)," ")</f>
        <v>PM/0131/0112/45030040255</v>
      </c>
      <c r="AB219" s="53" t="s">
        <v>138</v>
      </c>
      <c r="AC219" s="250" t="s">
        <v>204</v>
      </c>
    </row>
    <row r="220" spans="2:29" s="28" customFormat="1" ht="56" x14ac:dyDescent="0.35">
      <c r="B220" s="77">
        <v>20250221</v>
      </c>
      <c r="C220" s="50" t="s">
        <v>209</v>
      </c>
      <c r="D220" s="246" t="s">
        <v>168</v>
      </c>
      <c r="E220" s="51" t="s">
        <v>600</v>
      </c>
      <c r="F220" s="246" t="s">
        <v>762</v>
      </c>
      <c r="G220" s="246" t="s">
        <v>155</v>
      </c>
      <c r="H220" s="93">
        <v>80111600</v>
      </c>
      <c r="I220" s="247">
        <v>2</v>
      </c>
      <c r="J220" s="247">
        <v>9</v>
      </c>
      <c r="K220" s="52">
        <v>0</v>
      </c>
      <c r="L220" s="53">
        <v>48259520</v>
      </c>
      <c r="M220" s="246" t="s">
        <v>464</v>
      </c>
      <c r="N220" s="53" t="s">
        <v>113</v>
      </c>
      <c r="O220" s="51" t="s">
        <v>224</v>
      </c>
      <c r="P220" s="248" t="str">
        <f>IFERROR(VLOOKUP(C220,TD!$B$33:$F$37,2,0)," ")</f>
        <v>O230117</v>
      </c>
      <c r="Q220" s="248" t="str">
        <f>IFERROR(VLOOKUP(C220,TD!$B$33:$F$37,3,0)," ")</f>
        <v>4503</v>
      </c>
      <c r="R220" s="248">
        <f>IFERROR(VLOOKUP(C220,TD!$B$33:$F$37,4,0)," ")</f>
        <v>20240255</v>
      </c>
      <c r="S220" s="51" t="s">
        <v>191</v>
      </c>
      <c r="T220" s="248" t="str">
        <f>IFERROR(VLOOKUP(S220,TD!$J$34:$K$44,2,0)," ")</f>
        <v>Servicio de apoyo   logístico  en eventos operativos y/o emergencias.</v>
      </c>
      <c r="U220" s="249" t="str">
        <f>CONCATENATE(S220,"-",T220)</f>
        <v>12-Servicio de apoyo   logístico  en eventos operativos y/o emergencias.</v>
      </c>
      <c r="V220" s="51" t="s">
        <v>232</v>
      </c>
      <c r="W220" s="248" t="str">
        <f>IFERROR(VLOOKUP(V220,TD!$N$34:$O$46,2,0)," ")</f>
        <v>Servicio de atención a emergencias y desastres</v>
      </c>
      <c r="X220" s="249" t="str">
        <f>CONCATENATE(V220,"_",W220)</f>
        <v>004_Servicio de atención a emergencias y desastres</v>
      </c>
      <c r="Y220" s="249" t="str">
        <f>CONCATENATE(U220," ",X220)</f>
        <v>12-Servicio de apoyo   logístico  en eventos operativos y/o emergencias. 004_Servicio de atención a emergencias y desastres</v>
      </c>
      <c r="Z220" s="248" t="str">
        <f>CONCATENATE(P220,Q220,R220,S220,V220)</f>
        <v>O23011745032024025512004</v>
      </c>
      <c r="AA220" s="248" t="str">
        <f>IFERROR(VLOOKUP(Y220,TD!$K$47:$L$65,2,0)," ")</f>
        <v>PM/0131/0112/45030040255</v>
      </c>
      <c r="AB220" s="53" t="s">
        <v>138</v>
      </c>
      <c r="AC220" s="250" t="s">
        <v>204</v>
      </c>
    </row>
    <row r="221" spans="2:29" s="28" customFormat="1" ht="56" x14ac:dyDescent="0.35">
      <c r="B221" s="77">
        <v>20250222</v>
      </c>
      <c r="C221" s="50" t="s">
        <v>209</v>
      </c>
      <c r="D221" s="246" t="s">
        <v>168</v>
      </c>
      <c r="E221" s="51" t="s">
        <v>600</v>
      </c>
      <c r="F221" s="246" t="s">
        <v>504</v>
      </c>
      <c r="G221" s="246" t="s">
        <v>155</v>
      </c>
      <c r="H221" s="93">
        <v>80111600</v>
      </c>
      <c r="I221" s="247">
        <v>2</v>
      </c>
      <c r="J221" s="247">
        <v>9</v>
      </c>
      <c r="K221" s="52">
        <v>0</v>
      </c>
      <c r="L221" s="53">
        <v>50400000</v>
      </c>
      <c r="M221" s="246" t="s">
        <v>464</v>
      </c>
      <c r="N221" s="53" t="s">
        <v>113</v>
      </c>
      <c r="O221" s="51" t="s">
        <v>224</v>
      </c>
      <c r="P221" s="248" t="str">
        <f>IFERROR(VLOOKUP(C221,TD!$B$33:$F$37,2,0)," ")</f>
        <v>O230117</v>
      </c>
      <c r="Q221" s="248" t="str">
        <f>IFERROR(VLOOKUP(C221,TD!$B$33:$F$37,3,0)," ")</f>
        <v>4503</v>
      </c>
      <c r="R221" s="248">
        <f>IFERROR(VLOOKUP(C221,TD!$B$33:$F$37,4,0)," ")</f>
        <v>20240255</v>
      </c>
      <c r="S221" s="51" t="s">
        <v>191</v>
      </c>
      <c r="T221" s="248" t="str">
        <f>IFERROR(VLOOKUP(S221,TD!$J$34:$K$44,2,0)," ")</f>
        <v>Servicio de apoyo   logístico  en eventos operativos y/o emergencias.</v>
      </c>
      <c r="U221" s="249" t="str">
        <f>CONCATENATE(S221,"-",T221)</f>
        <v>12-Servicio de apoyo   logístico  en eventos operativos y/o emergencias.</v>
      </c>
      <c r="V221" s="51" t="s">
        <v>232</v>
      </c>
      <c r="W221" s="248" t="str">
        <f>IFERROR(VLOOKUP(V221,TD!$N$34:$O$46,2,0)," ")</f>
        <v>Servicio de atención a emergencias y desastres</v>
      </c>
      <c r="X221" s="249" t="str">
        <f>CONCATENATE(V221,"_",W221)</f>
        <v>004_Servicio de atención a emergencias y desastres</v>
      </c>
      <c r="Y221" s="249" t="str">
        <f>CONCATENATE(U221," ",X221)</f>
        <v>12-Servicio de apoyo   logístico  en eventos operativos y/o emergencias. 004_Servicio de atención a emergencias y desastres</v>
      </c>
      <c r="Z221" s="248" t="str">
        <f>CONCATENATE(P221,Q221,R221,S221,V221)</f>
        <v>O23011745032024025512004</v>
      </c>
      <c r="AA221" s="248" t="str">
        <f>IFERROR(VLOOKUP(Y221,TD!$K$47:$L$65,2,0)," ")</f>
        <v>PM/0131/0112/45030040255</v>
      </c>
      <c r="AB221" s="53" t="s">
        <v>138</v>
      </c>
      <c r="AC221" s="250" t="s">
        <v>204</v>
      </c>
    </row>
    <row r="222" spans="2:29" s="28" customFormat="1" ht="56" x14ac:dyDescent="0.35">
      <c r="B222" s="77">
        <v>20250223</v>
      </c>
      <c r="C222" s="110" t="s">
        <v>346</v>
      </c>
      <c r="D222" s="285" t="s">
        <v>168</v>
      </c>
      <c r="E222" s="286" t="s">
        <v>600</v>
      </c>
      <c r="F222" s="246" t="s">
        <v>601</v>
      </c>
      <c r="G222" s="285" t="s">
        <v>96</v>
      </c>
      <c r="H222" s="93">
        <v>78181505</v>
      </c>
      <c r="I222" s="287">
        <v>3</v>
      </c>
      <c r="J222" s="287">
        <v>3</v>
      </c>
      <c r="K222" s="111">
        <v>0</v>
      </c>
      <c r="L222" s="112">
        <v>45172621</v>
      </c>
      <c r="M222" s="285" t="s">
        <v>172</v>
      </c>
      <c r="N222" s="112" t="s">
        <v>100</v>
      </c>
      <c r="O222" s="286" t="s">
        <v>347</v>
      </c>
      <c r="P222" s="288" t="str">
        <f>IFERROR(VLOOKUP(C222,TD!$B$33:$F$37,2,0)," ")</f>
        <v>NA</v>
      </c>
      <c r="Q222" s="288" t="str">
        <f>IFERROR(VLOOKUP(C222,TD!$B$33:$F$37,3,0)," ")</f>
        <v>NA</v>
      </c>
      <c r="R222" s="288" t="str">
        <f>IFERROR(VLOOKUP(C222,TD!$B$33:$F$37,4,0)," ")</f>
        <v>NA</v>
      </c>
      <c r="S222" s="286" t="s">
        <v>406</v>
      </c>
      <c r="T222" s="248" t="str">
        <f>IFERROR(VLOOKUP(S222,TD!$J$34:$K$44,2,0)," ")</f>
        <v>N/A</v>
      </c>
      <c r="U222" s="249" t="str">
        <f>CONCATENATE(S222,"-",T222)</f>
        <v>N/A-N/A</v>
      </c>
      <c r="V222" s="51" t="s">
        <v>406</v>
      </c>
      <c r="W222" s="248" t="str">
        <f>IFERROR(VLOOKUP(V222,TD!$N$34:$O$46,2,0)," ")</f>
        <v>N/A</v>
      </c>
      <c r="X222" s="249" t="str">
        <f>CONCATENATE(V222,"_",W222)</f>
        <v>N/A_N/A</v>
      </c>
      <c r="Y222" s="249" t="str">
        <f>CONCATENATE(U222," ",X222)</f>
        <v>N/A-N/A N/A_N/A</v>
      </c>
      <c r="Z222" s="288" t="str">
        <f>CONCATENATE(P222,Q222,R222,S222,V222)</f>
        <v>NANANAN/AN/A</v>
      </c>
      <c r="AA222" s="248" t="str">
        <f>IFERROR(VLOOKUP(Y222,TD!$K$47:$L$65,2,0)," ")</f>
        <v>N/A</v>
      </c>
      <c r="AB222" s="125" t="s">
        <v>452</v>
      </c>
      <c r="AC222" s="250" t="s">
        <v>204</v>
      </c>
    </row>
    <row r="223" spans="2:29" s="28" customFormat="1" ht="56" x14ac:dyDescent="0.35">
      <c r="B223" s="77">
        <v>20250224</v>
      </c>
      <c r="C223" s="50" t="s">
        <v>209</v>
      </c>
      <c r="D223" s="246" t="s">
        <v>167</v>
      </c>
      <c r="E223" s="51" t="s">
        <v>505</v>
      </c>
      <c r="F223" s="246" t="s">
        <v>371</v>
      </c>
      <c r="G223" s="246" t="s">
        <v>109</v>
      </c>
      <c r="H223" s="93" t="s">
        <v>907</v>
      </c>
      <c r="I223" s="247">
        <v>1</v>
      </c>
      <c r="J223" s="247">
        <v>3</v>
      </c>
      <c r="K223" s="52">
        <v>0</v>
      </c>
      <c r="L223" s="53">
        <v>6756685</v>
      </c>
      <c r="M223" s="246" t="s">
        <v>464</v>
      </c>
      <c r="N223" s="53" t="s">
        <v>506</v>
      </c>
      <c r="O223" s="51" t="s">
        <v>221</v>
      </c>
      <c r="P223" s="248" t="str">
        <f>IFERROR(VLOOKUP(C223,TD!$B$33:$F$37,2,0)," ")</f>
        <v>O230117</v>
      </c>
      <c r="Q223" s="248" t="str">
        <f>IFERROR(VLOOKUP(C223,TD!$B$33:$F$37,3,0)," ")</f>
        <v>4503</v>
      </c>
      <c r="R223" s="248">
        <f>IFERROR(VLOOKUP(C223,TD!$B$33:$F$37,4,0)," ")</f>
        <v>20240255</v>
      </c>
      <c r="S223" s="51" t="s">
        <v>177</v>
      </c>
      <c r="T223" s="248" t="str">
        <f>IFERROR(VLOOKUP(S223,TD!$J$34:$K$44,2,0)," ")</f>
        <v>Servicio de capacitaciones en gestión del riesgo de incendios  a la ciudadania.</v>
      </c>
      <c r="U223" s="249" t="str">
        <f>CONCATENATE(S223,"-",T223)</f>
        <v>05-Servicio de capacitaciones en gestión del riesgo de incendios  a la ciudadania.</v>
      </c>
      <c r="V223" s="51" t="s">
        <v>234</v>
      </c>
      <c r="W223" s="248" t="str">
        <f>IFERROR(VLOOKUP(V223,TD!$N$34:$O$46,2,0)," ")</f>
        <v>Servicio prevención y control de incendios</v>
      </c>
      <c r="X223" s="249" t="str">
        <f>CONCATENATE(V223,"_",W223)</f>
        <v>035_Servicio prevención y control de incendios</v>
      </c>
      <c r="Y223" s="249" t="str">
        <f>CONCATENATE(U223," ",X223)</f>
        <v>05-Servicio de capacitaciones en gestión del riesgo de incendios  a la ciudadania. 035_Servicio prevención y control de incendios</v>
      </c>
      <c r="Z223" s="248" t="str">
        <f>CONCATENATE(P223,Q223,R223,S223,V223)</f>
        <v>O23011745032024025505035</v>
      </c>
      <c r="AA223" s="248" t="str">
        <f>IFERROR(VLOOKUP(Y223,TD!$K$47:$L$65,2,0)," ")</f>
        <v>PM/0131/0105/45030350255</v>
      </c>
      <c r="AB223" s="53" t="s">
        <v>138</v>
      </c>
      <c r="AC223" s="250" t="s">
        <v>204</v>
      </c>
    </row>
    <row r="224" spans="2:29" s="28" customFormat="1" ht="56" x14ac:dyDescent="0.35">
      <c r="B224" s="77">
        <v>20250225</v>
      </c>
      <c r="C224" s="50" t="s">
        <v>209</v>
      </c>
      <c r="D224" s="246" t="s">
        <v>167</v>
      </c>
      <c r="E224" s="51" t="s">
        <v>505</v>
      </c>
      <c r="F224" s="246" t="s">
        <v>819</v>
      </c>
      <c r="G224" s="246" t="s">
        <v>109</v>
      </c>
      <c r="H224" s="93" t="s">
        <v>908</v>
      </c>
      <c r="I224" s="247">
        <v>1</v>
      </c>
      <c r="J224" s="247">
        <v>3</v>
      </c>
      <c r="K224" s="52">
        <v>0</v>
      </c>
      <c r="L224" s="53">
        <v>33000000</v>
      </c>
      <c r="M224" s="246" t="s">
        <v>464</v>
      </c>
      <c r="N224" s="53" t="s">
        <v>507</v>
      </c>
      <c r="O224" s="51" t="s">
        <v>221</v>
      </c>
      <c r="P224" s="248" t="str">
        <f>IFERROR(VLOOKUP(C224,TD!$B$33:$F$37,2,0)," ")</f>
        <v>O230117</v>
      </c>
      <c r="Q224" s="248" t="str">
        <f>IFERROR(VLOOKUP(C224,TD!$B$33:$F$37,3,0)," ")</f>
        <v>4503</v>
      </c>
      <c r="R224" s="248">
        <f>IFERROR(VLOOKUP(C224,TD!$B$33:$F$37,4,0)," ")</f>
        <v>20240255</v>
      </c>
      <c r="S224" s="51" t="s">
        <v>179</v>
      </c>
      <c r="T224" s="248" t="str">
        <f>IFERROR(VLOOKUP(S224,TD!$J$34:$K$44,2,0)," ")</f>
        <v>Infraestructura Tecnológica   (Sistemas de Información y Tecnologia)</v>
      </c>
      <c r="U224" s="249" t="str">
        <f>CONCATENATE(S224,"-",T224)</f>
        <v>11-Infraestructura Tecnológica   (Sistemas de Información y Tecnologia)</v>
      </c>
      <c r="V224" s="51" t="s">
        <v>235</v>
      </c>
      <c r="W224" s="248" t="str">
        <f>IFERROR(VLOOKUP(V224,TD!$N$34:$O$46,2,0)," ")</f>
        <v>"Servicio de monitoreo y seguimiento para la gestión del riesgo"</v>
      </c>
      <c r="X224" s="249" t="str">
        <f>CONCATENATE(V224,"_",W224)</f>
        <v>018_"Servicio de monitoreo y seguimiento para la gestión del riesgo"</v>
      </c>
      <c r="Y224" s="249" t="str">
        <f>CONCATENATE(U224," ",X224)</f>
        <v>11-Infraestructura Tecnológica   (Sistemas de Información y Tecnologia) 018_"Servicio de monitoreo y seguimiento para la gestión del riesgo"</v>
      </c>
      <c r="Z224" s="248" t="str">
        <f>CONCATENATE(P224,Q224,R224,S224,V224)</f>
        <v>O23011745032024025511018</v>
      </c>
      <c r="AA224" s="248" t="str">
        <f>IFERROR(VLOOKUP(Y224,TD!$K$47:$L$65,2,0)," ")</f>
        <v>PM/0131/0111/45030180255</v>
      </c>
      <c r="AB224" s="53" t="s">
        <v>138</v>
      </c>
      <c r="AC224" s="250" t="s">
        <v>204</v>
      </c>
    </row>
    <row r="225" spans="2:29" s="28" customFormat="1" ht="56" x14ac:dyDescent="0.35">
      <c r="B225" s="77">
        <v>20250226</v>
      </c>
      <c r="C225" s="50" t="s">
        <v>209</v>
      </c>
      <c r="D225" s="246" t="s">
        <v>167</v>
      </c>
      <c r="E225" s="51" t="s">
        <v>505</v>
      </c>
      <c r="F225" s="246" t="s">
        <v>674</v>
      </c>
      <c r="G225" s="246" t="s">
        <v>155</v>
      </c>
      <c r="H225" s="93">
        <v>80111600</v>
      </c>
      <c r="I225" s="247">
        <v>1</v>
      </c>
      <c r="J225" s="253">
        <v>10</v>
      </c>
      <c r="K225" s="126">
        <v>0</v>
      </c>
      <c r="L225" s="125">
        <f>100000000-36300000</f>
        <v>63700000</v>
      </c>
      <c r="M225" s="246" t="s">
        <v>464</v>
      </c>
      <c r="N225" s="53" t="s">
        <v>113</v>
      </c>
      <c r="O225" s="51" t="s">
        <v>221</v>
      </c>
      <c r="P225" s="248" t="str">
        <f>IFERROR(VLOOKUP(C225,TD!$B$33:$F$37,2,0)," ")</f>
        <v>O230117</v>
      </c>
      <c r="Q225" s="248" t="str">
        <f>IFERROR(VLOOKUP(C225,TD!$B$33:$F$37,3,0)," ")</f>
        <v>4503</v>
      </c>
      <c r="R225" s="248">
        <f>IFERROR(VLOOKUP(C225,TD!$B$33:$F$37,4,0)," ")</f>
        <v>20240255</v>
      </c>
      <c r="S225" s="51" t="s">
        <v>181</v>
      </c>
      <c r="T225" s="248" t="str">
        <f>IFERROR(VLOOKUP(S225,TD!$J$34:$K$44,2,0)," ")</f>
        <v>Servicio de inspecciones técnicas realizadas</v>
      </c>
      <c r="U225" s="249" t="str">
        <f>CONCATENATE(S225,"-",T225)</f>
        <v>06-Servicio de inspecciones técnicas realizadas</v>
      </c>
      <c r="V225" s="51" t="s">
        <v>234</v>
      </c>
      <c r="W225" s="248" t="str">
        <f>IFERROR(VLOOKUP(V225,TD!$N$34:$O$46,2,0)," ")</f>
        <v>Servicio prevención y control de incendios</v>
      </c>
      <c r="X225" s="249" t="str">
        <f>CONCATENATE(V225,"_",W225)</f>
        <v>035_Servicio prevención y control de incendios</v>
      </c>
      <c r="Y225" s="249" t="str">
        <f>CONCATENATE(U225," ",X225)</f>
        <v>06-Servicio de inspecciones técnicas realizadas 035_Servicio prevención y control de incendios</v>
      </c>
      <c r="Z225" s="248" t="str">
        <f>CONCATENATE(P225,Q225,R225,S225,V225)</f>
        <v>O23011745032024025506035</v>
      </c>
      <c r="AA225" s="248" t="str">
        <f>IFERROR(VLOOKUP(Y225,TD!$K$47:$L$65,2,0)," ")</f>
        <v>PM/0131/0106/45030350255</v>
      </c>
      <c r="AB225" s="53" t="s">
        <v>138</v>
      </c>
      <c r="AC225" s="250" t="s">
        <v>204</v>
      </c>
    </row>
    <row r="226" spans="2:29" s="28" customFormat="1" ht="56" x14ac:dyDescent="0.35">
      <c r="B226" s="77">
        <v>20250229</v>
      </c>
      <c r="C226" s="50" t="s">
        <v>209</v>
      </c>
      <c r="D226" s="246" t="s">
        <v>167</v>
      </c>
      <c r="E226" s="51" t="s">
        <v>505</v>
      </c>
      <c r="F226" s="246" t="s">
        <v>509</v>
      </c>
      <c r="G226" s="246" t="s">
        <v>155</v>
      </c>
      <c r="H226" s="93">
        <v>80111600</v>
      </c>
      <c r="I226" s="247">
        <v>1</v>
      </c>
      <c r="J226" s="253">
        <v>10</v>
      </c>
      <c r="K226" s="126">
        <v>0</v>
      </c>
      <c r="L226" s="125">
        <v>93000000</v>
      </c>
      <c r="M226" s="246" t="s">
        <v>464</v>
      </c>
      <c r="N226" s="53" t="s">
        <v>508</v>
      </c>
      <c r="O226" s="51" t="s">
        <v>225</v>
      </c>
      <c r="P226" s="248" t="str">
        <f>IFERROR(VLOOKUP(C226,TD!$B$33:$F$37,2,0)," ")</f>
        <v>O230117</v>
      </c>
      <c r="Q226" s="248" t="str">
        <f>IFERROR(VLOOKUP(C226,TD!$B$33:$F$37,3,0)," ")</f>
        <v>4503</v>
      </c>
      <c r="R226" s="248">
        <f>IFERROR(VLOOKUP(C226,TD!$B$33:$F$37,4,0)," ")</f>
        <v>20240255</v>
      </c>
      <c r="S226" s="51" t="s">
        <v>179</v>
      </c>
      <c r="T226" s="248" t="str">
        <f>IFERROR(VLOOKUP(S226,TD!$J$34:$K$44,2,0)," ")</f>
        <v>Infraestructura Tecnológica   (Sistemas de Información y Tecnologia)</v>
      </c>
      <c r="U226" s="249" t="str">
        <f>CONCATENATE(S226,"-",T226)</f>
        <v>11-Infraestructura Tecnológica   (Sistemas de Información y Tecnologia)</v>
      </c>
      <c r="V226" s="51" t="s">
        <v>235</v>
      </c>
      <c r="W226" s="248" t="str">
        <f>IFERROR(VLOOKUP(V226,TD!$N$34:$O$46,2,0)," ")</f>
        <v>"Servicio de monitoreo y seguimiento para la gestión del riesgo"</v>
      </c>
      <c r="X226" s="249" t="str">
        <f>CONCATENATE(V226,"_",W226)</f>
        <v>018_"Servicio de monitoreo y seguimiento para la gestión del riesgo"</v>
      </c>
      <c r="Y226" s="249" t="str">
        <f>CONCATENATE(U226," ",X226)</f>
        <v>11-Infraestructura Tecnológica   (Sistemas de Información y Tecnologia) 018_"Servicio de monitoreo y seguimiento para la gestión del riesgo"</v>
      </c>
      <c r="Z226" s="248" t="str">
        <f>CONCATENATE(P226,Q226,R226,S226,V226)</f>
        <v>O23011745032024025511018</v>
      </c>
      <c r="AA226" s="248" t="str">
        <f>IFERROR(VLOOKUP(Y226,TD!$K$47:$L$65,2,0)," ")</f>
        <v>PM/0131/0111/45030180255</v>
      </c>
      <c r="AB226" s="53" t="s">
        <v>138</v>
      </c>
      <c r="AC226" s="250" t="s">
        <v>204</v>
      </c>
    </row>
    <row r="227" spans="2:29" s="28" customFormat="1" ht="56" x14ac:dyDescent="0.35">
      <c r="B227" s="77">
        <v>20250230</v>
      </c>
      <c r="C227" s="50" t="s">
        <v>209</v>
      </c>
      <c r="D227" s="246" t="s">
        <v>167</v>
      </c>
      <c r="E227" s="51" t="s">
        <v>505</v>
      </c>
      <c r="F227" s="246" t="s">
        <v>675</v>
      </c>
      <c r="G227" s="246" t="s">
        <v>155</v>
      </c>
      <c r="H227" s="93">
        <v>80111600</v>
      </c>
      <c r="I227" s="247">
        <v>1</v>
      </c>
      <c r="J227" s="253">
        <v>10</v>
      </c>
      <c r="K227" s="126">
        <v>0</v>
      </c>
      <c r="L227" s="125">
        <v>41860000</v>
      </c>
      <c r="M227" s="246" t="s">
        <v>464</v>
      </c>
      <c r="N227" s="53" t="s">
        <v>508</v>
      </c>
      <c r="O227" s="51" t="s">
        <v>221</v>
      </c>
      <c r="P227" s="248" t="str">
        <f>IFERROR(VLOOKUP(C227,TD!$B$33:$F$37,2,0)," ")</f>
        <v>O230117</v>
      </c>
      <c r="Q227" s="248" t="str">
        <f>IFERROR(VLOOKUP(C227,TD!$B$33:$F$37,3,0)," ")</f>
        <v>4503</v>
      </c>
      <c r="R227" s="248">
        <f>IFERROR(VLOOKUP(C227,TD!$B$33:$F$37,4,0)," ")</f>
        <v>20240255</v>
      </c>
      <c r="S227" s="51" t="s">
        <v>177</v>
      </c>
      <c r="T227" s="248" t="str">
        <f>IFERROR(VLOOKUP(S227,TD!$J$34:$K$44,2,0)," ")</f>
        <v>Servicio de capacitaciones en gestión del riesgo de incendios  a la ciudadania.</v>
      </c>
      <c r="U227" s="249" t="str">
        <f>CONCATENATE(S227,"-",T227)</f>
        <v>05-Servicio de capacitaciones en gestión del riesgo de incendios  a la ciudadania.</v>
      </c>
      <c r="V227" s="51" t="s">
        <v>233</v>
      </c>
      <c r="W227" s="248" t="str">
        <f>IFERROR(VLOOKUP(V227,TD!$N$34:$O$46,2,0)," ")</f>
        <v>Servicio de educación informal</v>
      </c>
      <c r="X227" s="249" t="str">
        <f>CONCATENATE(V227,"_",W227)</f>
        <v>002_Servicio de educación informal</v>
      </c>
      <c r="Y227" s="249" t="str">
        <f>CONCATENATE(U227," ",X227)</f>
        <v>05-Servicio de capacitaciones en gestión del riesgo de incendios  a la ciudadania. 002_Servicio de educación informal</v>
      </c>
      <c r="Z227" s="248" t="str">
        <f>CONCATENATE(P227,Q227,R227,S227,V227)</f>
        <v>O23011745032024025505002</v>
      </c>
      <c r="AA227" s="248" t="str">
        <f>IFERROR(VLOOKUP(Y227,TD!$K$47:$L$65,2,0)," ")</f>
        <v>PM/0131/0105/45030020255</v>
      </c>
      <c r="AB227" s="53" t="s">
        <v>138</v>
      </c>
      <c r="AC227" s="250" t="s">
        <v>204</v>
      </c>
    </row>
    <row r="228" spans="2:29" s="28" customFormat="1" ht="56" x14ac:dyDescent="0.35">
      <c r="B228" s="77">
        <v>20250231</v>
      </c>
      <c r="C228" s="50" t="s">
        <v>209</v>
      </c>
      <c r="D228" s="246" t="s">
        <v>167</v>
      </c>
      <c r="E228" s="51" t="s">
        <v>505</v>
      </c>
      <c r="F228" s="246" t="s">
        <v>676</v>
      </c>
      <c r="G228" s="246" t="s">
        <v>155</v>
      </c>
      <c r="H228" s="93">
        <v>80111600</v>
      </c>
      <c r="I228" s="247">
        <v>1</v>
      </c>
      <c r="J228" s="253">
        <v>10</v>
      </c>
      <c r="K228" s="126">
        <v>0</v>
      </c>
      <c r="L228" s="125">
        <v>70000000</v>
      </c>
      <c r="M228" s="246" t="s">
        <v>464</v>
      </c>
      <c r="N228" s="53" t="s">
        <v>508</v>
      </c>
      <c r="O228" s="51" t="s">
        <v>221</v>
      </c>
      <c r="P228" s="248" t="str">
        <f>IFERROR(VLOOKUP(C228,TD!$B$33:$F$37,2,0)," ")</f>
        <v>O230117</v>
      </c>
      <c r="Q228" s="248" t="str">
        <f>IFERROR(VLOOKUP(C228,TD!$B$33:$F$37,3,0)," ")</f>
        <v>4503</v>
      </c>
      <c r="R228" s="248">
        <f>IFERROR(VLOOKUP(C228,TD!$B$33:$F$37,4,0)," ")</f>
        <v>20240255</v>
      </c>
      <c r="S228" s="51" t="s">
        <v>177</v>
      </c>
      <c r="T228" s="248" t="str">
        <f>IFERROR(VLOOKUP(S228,TD!$J$34:$K$44,2,0)," ")</f>
        <v>Servicio de capacitaciones en gestión del riesgo de incendios  a la ciudadania.</v>
      </c>
      <c r="U228" s="249" t="str">
        <f>CONCATENATE(S228,"-",T228)</f>
        <v>05-Servicio de capacitaciones en gestión del riesgo de incendios  a la ciudadania.</v>
      </c>
      <c r="V228" s="51" t="s">
        <v>234</v>
      </c>
      <c r="W228" s="248" t="str">
        <f>IFERROR(VLOOKUP(V228,TD!$N$34:$O$46,2,0)," ")</f>
        <v>Servicio prevención y control de incendios</v>
      </c>
      <c r="X228" s="249" t="str">
        <f>CONCATENATE(V228,"_",W228)</f>
        <v>035_Servicio prevención y control de incendios</v>
      </c>
      <c r="Y228" s="249" t="str">
        <f>CONCATENATE(U228," ",X228)</f>
        <v>05-Servicio de capacitaciones en gestión del riesgo de incendios  a la ciudadania. 035_Servicio prevención y control de incendios</v>
      </c>
      <c r="Z228" s="248" t="str">
        <f>CONCATENATE(P228,Q228,R228,S228,V228)</f>
        <v>O23011745032024025505035</v>
      </c>
      <c r="AA228" s="248" t="str">
        <f>IFERROR(VLOOKUP(Y228,TD!$K$47:$L$65,2,0)," ")</f>
        <v>PM/0131/0105/45030350255</v>
      </c>
      <c r="AB228" s="53" t="s">
        <v>138</v>
      </c>
      <c r="AC228" s="250" t="s">
        <v>204</v>
      </c>
    </row>
    <row r="229" spans="2:29" s="28" customFormat="1" ht="56" x14ac:dyDescent="0.35">
      <c r="B229" s="77">
        <v>20250232</v>
      </c>
      <c r="C229" s="50" t="s">
        <v>209</v>
      </c>
      <c r="D229" s="246" t="s">
        <v>167</v>
      </c>
      <c r="E229" s="51" t="s">
        <v>505</v>
      </c>
      <c r="F229" s="246" t="s">
        <v>377</v>
      </c>
      <c r="G229" s="246" t="s">
        <v>155</v>
      </c>
      <c r="H229" s="93">
        <v>80111600</v>
      </c>
      <c r="I229" s="247">
        <v>1</v>
      </c>
      <c r="J229" s="253">
        <v>10</v>
      </c>
      <c r="K229" s="126">
        <v>0</v>
      </c>
      <c r="L229" s="125">
        <v>70000000</v>
      </c>
      <c r="M229" s="246" t="s">
        <v>464</v>
      </c>
      <c r="N229" s="53" t="s">
        <v>508</v>
      </c>
      <c r="O229" s="51" t="s">
        <v>221</v>
      </c>
      <c r="P229" s="248" t="str">
        <f>IFERROR(VLOOKUP(C229,TD!$B$33:$F$37,2,0)," ")</f>
        <v>O230117</v>
      </c>
      <c r="Q229" s="248" t="str">
        <f>IFERROR(VLOOKUP(C229,TD!$B$33:$F$37,3,0)," ")</f>
        <v>4503</v>
      </c>
      <c r="R229" s="248">
        <f>IFERROR(VLOOKUP(C229,TD!$B$33:$F$37,4,0)," ")</f>
        <v>20240255</v>
      </c>
      <c r="S229" s="51" t="s">
        <v>177</v>
      </c>
      <c r="T229" s="248" t="str">
        <f>IFERROR(VLOOKUP(S229,TD!$J$34:$K$44,2,0)," ")</f>
        <v>Servicio de capacitaciones en gestión del riesgo de incendios  a la ciudadania.</v>
      </c>
      <c r="U229" s="249" t="str">
        <f>CONCATENATE(S229,"-",T229)</f>
        <v>05-Servicio de capacitaciones en gestión del riesgo de incendios  a la ciudadania.</v>
      </c>
      <c r="V229" s="51" t="s">
        <v>233</v>
      </c>
      <c r="W229" s="248" t="str">
        <f>IFERROR(VLOOKUP(V229,TD!$N$34:$O$46,2,0)," ")</f>
        <v>Servicio de educación informal</v>
      </c>
      <c r="X229" s="249" t="str">
        <f>CONCATENATE(V229,"_",W229)</f>
        <v>002_Servicio de educación informal</v>
      </c>
      <c r="Y229" s="249" t="str">
        <f>CONCATENATE(U229," ",X229)</f>
        <v>05-Servicio de capacitaciones en gestión del riesgo de incendios  a la ciudadania. 002_Servicio de educación informal</v>
      </c>
      <c r="Z229" s="248" t="str">
        <f>CONCATENATE(P229,Q229,R229,S229,V229)</f>
        <v>O23011745032024025505002</v>
      </c>
      <c r="AA229" s="248" t="str">
        <f>IFERROR(VLOOKUP(Y229,TD!$K$47:$L$65,2,0)," ")</f>
        <v>PM/0131/0105/45030020255</v>
      </c>
      <c r="AB229" s="53" t="s">
        <v>120</v>
      </c>
      <c r="AC229" s="250" t="s">
        <v>204</v>
      </c>
    </row>
    <row r="230" spans="2:29" s="28" customFormat="1" ht="56" x14ac:dyDescent="0.35">
      <c r="B230" s="77">
        <v>20250233</v>
      </c>
      <c r="C230" s="50" t="s">
        <v>209</v>
      </c>
      <c r="D230" s="246" t="s">
        <v>167</v>
      </c>
      <c r="E230" s="51" t="s">
        <v>505</v>
      </c>
      <c r="F230" s="246" t="s">
        <v>677</v>
      </c>
      <c r="G230" s="246" t="s">
        <v>155</v>
      </c>
      <c r="H230" s="93">
        <v>80111600</v>
      </c>
      <c r="I230" s="247">
        <v>1</v>
      </c>
      <c r="J230" s="253">
        <v>10</v>
      </c>
      <c r="K230" s="126">
        <v>0</v>
      </c>
      <c r="L230" s="125">
        <f>70000000-21000000</f>
        <v>49000000</v>
      </c>
      <c r="M230" s="246" t="s">
        <v>464</v>
      </c>
      <c r="N230" s="53" t="s">
        <v>508</v>
      </c>
      <c r="O230" s="51" t="s">
        <v>221</v>
      </c>
      <c r="P230" s="248" t="str">
        <f>IFERROR(VLOOKUP(C230,TD!$B$33:$F$37,2,0)," ")</f>
        <v>O230117</v>
      </c>
      <c r="Q230" s="248" t="str">
        <f>IFERROR(VLOOKUP(C230,TD!$B$33:$F$37,3,0)," ")</f>
        <v>4503</v>
      </c>
      <c r="R230" s="248">
        <f>IFERROR(VLOOKUP(C230,TD!$B$33:$F$37,4,0)," ")</f>
        <v>20240255</v>
      </c>
      <c r="S230" s="51" t="s">
        <v>177</v>
      </c>
      <c r="T230" s="248" t="str">
        <f>IFERROR(VLOOKUP(S230,TD!$J$34:$K$44,2,0)," ")</f>
        <v>Servicio de capacitaciones en gestión del riesgo de incendios  a la ciudadania.</v>
      </c>
      <c r="U230" s="249" t="str">
        <f>CONCATENATE(S230,"-",T230)</f>
        <v>05-Servicio de capacitaciones en gestión del riesgo de incendios  a la ciudadania.</v>
      </c>
      <c r="V230" s="51" t="s">
        <v>233</v>
      </c>
      <c r="W230" s="248" t="str">
        <f>IFERROR(VLOOKUP(V230,TD!$N$34:$O$46,2,0)," ")</f>
        <v>Servicio de educación informal</v>
      </c>
      <c r="X230" s="249" t="str">
        <f>CONCATENATE(V230,"_",W230)</f>
        <v>002_Servicio de educación informal</v>
      </c>
      <c r="Y230" s="249" t="str">
        <f>CONCATENATE(U230," ",X230)</f>
        <v>05-Servicio de capacitaciones en gestión del riesgo de incendios  a la ciudadania. 002_Servicio de educación informal</v>
      </c>
      <c r="Z230" s="248" t="str">
        <f>CONCATENATE(P230,Q230,R230,S230,V230)</f>
        <v>O23011745032024025505002</v>
      </c>
      <c r="AA230" s="248" t="str">
        <f>IFERROR(VLOOKUP(Y230,TD!$K$47:$L$65,2,0)," ")</f>
        <v>PM/0131/0105/45030020255</v>
      </c>
      <c r="AB230" s="53" t="s">
        <v>138</v>
      </c>
      <c r="AC230" s="250" t="s">
        <v>204</v>
      </c>
    </row>
    <row r="231" spans="2:29" s="28" customFormat="1" ht="42" x14ac:dyDescent="0.35">
      <c r="B231" s="77">
        <v>20250234</v>
      </c>
      <c r="C231" s="50" t="s">
        <v>209</v>
      </c>
      <c r="D231" s="246" t="s">
        <v>167</v>
      </c>
      <c r="E231" s="51" t="s">
        <v>505</v>
      </c>
      <c r="F231" s="246" t="s">
        <v>510</v>
      </c>
      <c r="G231" s="246" t="s">
        <v>155</v>
      </c>
      <c r="H231" s="93">
        <v>80111600</v>
      </c>
      <c r="I231" s="247">
        <v>1</v>
      </c>
      <c r="J231" s="253">
        <v>10</v>
      </c>
      <c r="K231" s="126">
        <v>0</v>
      </c>
      <c r="L231" s="125">
        <f>60000000-10000000-14000000</f>
        <v>36000000</v>
      </c>
      <c r="M231" s="246" t="s">
        <v>464</v>
      </c>
      <c r="N231" s="53" t="s">
        <v>508</v>
      </c>
      <c r="O231" s="51" t="s">
        <v>221</v>
      </c>
      <c r="P231" s="248" t="str">
        <f>IFERROR(VLOOKUP(C231,TD!$B$33:$F$37,2,0)," ")</f>
        <v>O230117</v>
      </c>
      <c r="Q231" s="248" t="str">
        <f>IFERROR(VLOOKUP(C231,TD!$B$33:$F$37,3,0)," ")</f>
        <v>4503</v>
      </c>
      <c r="R231" s="248">
        <f>IFERROR(VLOOKUP(C231,TD!$B$33:$F$37,4,0)," ")</f>
        <v>20240255</v>
      </c>
      <c r="S231" s="51" t="s">
        <v>177</v>
      </c>
      <c r="T231" s="248" t="str">
        <f>IFERROR(VLOOKUP(S231,TD!$J$34:$K$44,2,0)," ")</f>
        <v>Servicio de capacitaciones en gestión del riesgo de incendios  a la ciudadania.</v>
      </c>
      <c r="U231" s="249" t="str">
        <f>CONCATENATE(S231,"-",T231)</f>
        <v>05-Servicio de capacitaciones en gestión del riesgo de incendios  a la ciudadania.</v>
      </c>
      <c r="V231" s="51" t="s">
        <v>233</v>
      </c>
      <c r="W231" s="248" t="str">
        <f>IFERROR(VLOOKUP(V231,TD!$N$34:$O$46,2,0)," ")</f>
        <v>Servicio de educación informal</v>
      </c>
      <c r="X231" s="249" t="str">
        <f>CONCATENATE(V231,"_",W231)</f>
        <v>002_Servicio de educación informal</v>
      </c>
      <c r="Y231" s="249" t="str">
        <f>CONCATENATE(U231," ",X231)</f>
        <v>05-Servicio de capacitaciones en gestión del riesgo de incendios  a la ciudadania. 002_Servicio de educación informal</v>
      </c>
      <c r="Z231" s="248" t="str">
        <f>CONCATENATE(P231,Q231,R231,S231,V231)</f>
        <v>O23011745032024025505002</v>
      </c>
      <c r="AA231" s="248" t="str">
        <f>IFERROR(VLOOKUP(Y231,TD!$K$47:$L$65,2,0)," ")</f>
        <v>PM/0131/0105/45030020255</v>
      </c>
      <c r="AB231" s="53" t="s">
        <v>120</v>
      </c>
      <c r="AC231" s="250" t="s">
        <v>204</v>
      </c>
    </row>
    <row r="232" spans="2:29" s="28" customFormat="1" ht="42" x14ac:dyDescent="0.35">
      <c r="B232" s="77">
        <v>20250235</v>
      </c>
      <c r="C232" s="50" t="s">
        <v>209</v>
      </c>
      <c r="D232" s="246" t="s">
        <v>167</v>
      </c>
      <c r="E232" s="51" t="s">
        <v>505</v>
      </c>
      <c r="F232" s="246" t="s">
        <v>697</v>
      </c>
      <c r="G232" s="246" t="s">
        <v>155</v>
      </c>
      <c r="H232" s="93">
        <v>80111600</v>
      </c>
      <c r="I232" s="247">
        <v>1</v>
      </c>
      <c r="J232" s="253">
        <v>10</v>
      </c>
      <c r="K232" s="126">
        <v>0</v>
      </c>
      <c r="L232" s="125">
        <v>10500000</v>
      </c>
      <c r="M232" s="246" t="s">
        <v>464</v>
      </c>
      <c r="N232" s="53" t="s">
        <v>508</v>
      </c>
      <c r="O232" s="51" t="s">
        <v>221</v>
      </c>
      <c r="P232" s="248" t="str">
        <f>IFERROR(VLOOKUP(C232,TD!$B$33:$F$37,2,0)," ")</f>
        <v>O230117</v>
      </c>
      <c r="Q232" s="248" t="str">
        <f>IFERROR(VLOOKUP(C232,TD!$B$33:$F$37,3,0)," ")</f>
        <v>4503</v>
      </c>
      <c r="R232" s="248">
        <f>IFERROR(VLOOKUP(C232,TD!$B$33:$F$37,4,0)," ")</f>
        <v>20240255</v>
      </c>
      <c r="S232" s="51" t="s">
        <v>177</v>
      </c>
      <c r="T232" s="248" t="str">
        <f>IFERROR(VLOOKUP(S232,TD!$J$34:$K$44,2,0)," ")</f>
        <v>Servicio de capacitaciones en gestión del riesgo de incendios  a la ciudadania.</v>
      </c>
      <c r="U232" s="249" t="str">
        <f>CONCATENATE(S232,"-",T232)</f>
        <v>05-Servicio de capacitaciones en gestión del riesgo de incendios  a la ciudadania.</v>
      </c>
      <c r="V232" s="51" t="s">
        <v>233</v>
      </c>
      <c r="W232" s="248" t="str">
        <f>IFERROR(VLOOKUP(V232,TD!$N$34:$O$46,2,0)," ")</f>
        <v>Servicio de educación informal</v>
      </c>
      <c r="X232" s="249" t="str">
        <f>CONCATENATE(V232,"_",W232)</f>
        <v>002_Servicio de educación informal</v>
      </c>
      <c r="Y232" s="249" t="str">
        <f>CONCATENATE(U232," ",X232)</f>
        <v>05-Servicio de capacitaciones en gestión del riesgo de incendios  a la ciudadania. 002_Servicio de educación informal</v>
      </c>
      <c r="Z232" s="248" t="str">
        <f>CONCATENATE(P232,Q232,R232,S232,V232)</f>
        <v>O23011745032024025505002</v>
      </c>
      <c r="AA232" s="248" t="str">
        <f>IFERROR(VLOOKUP(Y232,TD!$K$47:$L$65,2,0)," ")</f>
        <v>PM/0131/0105/45030020255</v>
      </c>
      <c r="AB232" s="53" t="s">
        <v>138</v>
      </c>
      <c r="AC232" s="250" t="s">
        <v>204</v>
      </c>
    </row>
    <row r="233" spans="2:29" s="28" customFormat="1" ht="42" x14ac:dyDescent="0.35">
      <c r="B233" s="127">
        <v>20250236</v>
      </c>
      <c r="C233" s="129" t="s">
        <v>209</v>
      </c>
      <c r="D233" s="251" t="s">
        <v>167</v>
      </c>
      <c r="E233" s="252" t="s">
        <v>505</v>
      </c>
      <c r="F233" s="251" t="s">
        <v>511</v>
      </c>
      <c r="G233" s="251" t="s">
        <v>155</v>
      </c>
      <c r="H233" s="130">
        <v>80111600</v>
      </c>
      <c r="I233" s="253">
        <v>1</v>
      </c>
      <c r="J233" s="253">
        <v>10</v>
      </c>
      <c r="K233" s="126">
        <v>0</v>
      </c>
      <c r="L233" s="125">
        <v>35000000</v>
      </c>
      <c r="M233" s="251" t="s">
        <v>464</v>
      </c>
      <c r="N233" s="125" t="s">
        <v>508</v>
      </c>
      <c r="O233" s="252" t="s">
        <v>221</v>
      </c>
      <c r="P233" s="254" t="str">
        <f>IFERROR(VLOOKUP(C233,TD!$B$33:$F$37,2,0)," ")</f>
        <v>O230117</v>
      </c>
      <c r="Q233" s="254" t="str">
        <f>IFERROR(VLOOKUP(C233,TD!$B$33:$F$37,3,0)," ")</f>
        <v>4503</v>
      </c>
      <c r="R233" s="254">
        <f>IFERROR(VLOOKUP(C233,TD!$B$33:$F$37,4,0)," ")</f>
        <v>20240255</v>
      </c>
      <c r="S233" s="252" t="s">
        <v>177</v>
      </c>
      <c r="T233" s="254" t="str">
        <f>IFERROR(VLOOKUP(S233,TD!$J$34:$K$44,2,0)," ")</f>
        <v>Servicio de capacitaciones en gestión del riesgo de incendios  a la ciudadania.</v>
      </c>
      <c r="U233" s="249" t="str">
        <f>CONCATENATE(S233,"-",T233)</f>
        <v>05-Servicio de capacitaciones en gestión del riesgo de incendios  a la ciudadania.</v>
      </c>
      <c r="V233" s="252" t="s">
        <v>233</v>
      </c>
      <c r="W233" s="254" t="str">
        <f>IFERROR(VLOOKUP(V233,TD!$N$34:$O$46,2,0)," ")</f>
        <v>Servicio de educación informal</v>
      </c>
      <c r="X233" s="249" t="str">
        <f>CONCATENATE(V233,"_",W233)</f>
        <v>002_Servicio de educación informal</v>
      </c>
      <c r="Y233" s="249" t="str">
        <f>CONCATENATE(U233," ",X233)</f>
        <v>05-Servicio de capacitaciones en gestión del riesgo de incendios  a la ciudadania. 002_Servicio de educación informal</v>
      </c>
      <c r="Z233" s="254" t="str">
        <f>CONCATENATE(P233,Q233,R233,S233,V233)</f>
        <v>O23011745032024025505002</v>
      </c>
      <c r="AA233" s="254" t="str">
        <f>IFERROR(VLOOKUP(Y233,TD!$K$47:$L$65,2,0)," ")</f>
        <v>PM/0131/0105/45030020255</v>
      </c>
      <c r="AB233" s="125" t="s">
        <v>138</v>
      </c>
      <c r="AC233" s="255" t="s">
        <v>204</v>
      </c>
    </row>
    <row r="234" spans="2:29" s="28" customFormat="1" ht="56" x14ac:dyDescent="0.35">
      <c r="B234" s="77">
        <v>20250237</v>
      </c>
      <c r="C234" s="50" t="s">
        <v>209</v>
      </c>
      <c r="D234" s="246" t="s">
        <v>167</v>
      </c>
      <c r="E234" s="51" t="s">
        <v>505</v>
      </c>
      <c r="F234" s="246" t="s">
        <v>512</v>
      </c>
      <c r="G234" s="246" t="s">
        <v>155</v>
      </c>
      <c r="H234" s="93">
        <v>80111600</v>
      </c>
      <c r="I234" s="247">
        <v>1</v>
      </c>
      <c r="J234" s="253">
        <v>10</v>
      </c>
      <c r="K234" s="126">
        <v>0</v>
      </c>
      <c r="L234" s="125">
        <v>35000000</v>
      </c>
      <c r="M234" s="246" t="s">
        <v>464</v>
      </c>
      <c r="N234" s="53" t="s">
        <v>508</v>
      </c>
      <c r="O234" s="51" t="s">
        <v>221</v>
      </c>
      <c r="P234" s="248" t="str">
        <f>IFERROR(VLOOKUP(C234,TD!$B$33:$F$37,2,0)," ")</f>
        <v>O230117</v>
      </c>
      <c r="Q234" s="248" t="str">
        <f>IFERROR(VLOOKUP(C234,TD!$B$33:$F$37,3,0)," ")</f>
        <v>4503</v>
      </c>
      <c r="R234" s="248">
        <f>IFERROR(VLOOKUP(C234,TD!$B$33:$F$37,4,0)," ")</f>
        <v>20240255</v>
      </c>
      <c r="S234" s="51" t="s">
        <v>177</v>
      </c>
      <c r="T234" s="248" t="str">
        <f>IFERROR(VLOOKUP(S234,TD!$J$34:$K$44,2,0)," ")</f>
        <v>Servicio de capacitaciones en gestión del riesgo de incendios  a la ciudadania.</v>
      </c>
      <c r="U234" s="249" t="str">
        <f>CONCATENATE(S234,"-",T234)</f>
        <v>05-Servicio de capacitaciones en gestión del riesgo de incendios  a la ciudadania.</v>
      </c>
      <c r="V234" s="51" t="s">
        <v>233</v>
      </c>
      <c r="W234" s="248" t="str">
        <f>IFERROR(VLOOKUP(V234,TD!$N$34:$O$46,2,0)," ")</f>
        <v>Servicio de educación informal</v>
      </c>
      <c r="X234" s="249" t="str">
        <f>CONCATENATE(V234,"_",W234)</f>
        <v>002_Servicio de educación informal</v>
      </c>
      <c r="Y234" s="249" t="str">
        <f>CONCATENATE(U234," ",X234)</f>
        <v>05-Servicio de capacitaciones en gestión del riesgo de incendios  a la ciudadania. 002_Servicio de educación informal</v>
      </c>
      <c r="Z234" s="248" t="str">
        <f>CONCATENATE(P234,Q234,R234,S234,V234)</f>
        <v>O23011745032024025505002</v>
      </c>
      <c r="AA234" s="248" t="str">
        <f>IFERROR(VLOOKUP(Y234,TD!$K$47:$L$65,2,0)," ")</f>
        <v>PM/0131/0105/45030020255</v>
      </c>
      <c r="AB234" s="53" t="s">
        <v>138</v>
      </c>
      <c r="AC234" s="250" t="s">
        <v>204</v>
      </c>
    </row>
    <row r="235" spans="2:29" s="28" customFormat="1" ht="56" x14ac:dyDescent="0.35">
      <c r="B235" s="77">
        <v>20250238</v>
      </c>
      <c r="C235" s="50" t="s">
        <v>209</v>
      </c>
      <c r="D235" s="246" t="s">
        <v>167</v>
      </c>
      <c r="E235" s="51" t="s">
        <v>505</v>
      </c>
      <c r="F235" s="246" t="s">
        <v>513</v>
      </c>
      <c r="G235" s="246" t="s">
        <v>156</v>
      </c>
      <c r="H235" s="93">
        <v>80111600</v>
      </c>
      <c r="I235" s="247">
        <v>1</v>
      </c>
      <c r="J235" s="253">
        <v>10</v>
      </c>
      <c r="K235" s="126">
        <v>0</v>
      </c>
      <c r="L235" s="125">
        <v>33750000</v>
      </c>
      <c r="M235" s="246" t="s">
        <v>464</v>
      </c>
      <c r="N235" s="53" t="s">
        <v>508</v>
      </c>
      <c r="O235" s="51" t="s">
        <v>221</v>
      </c>
      <c r="P235" s="248" t="str">
        <f>IFERROR(VLOOKUP(C235,TD!$B$33:$F$37,2,0)," ")</f>
        <v>O230117</v>
      </c>
      <c r="Q235" s="248" t="str">
        <f>IFERROR(VLOOKUP(C235,TD!$B$33:$F$37,3,0)," ")</f>
        <v>4503</v>
      </c>
      <c r="R235" s="248">
        <f>IFERROR(VLOOKUP(C235,TD!$B$33:$F$37,4,0)," ")</f>
        <v>20240255</v>
      </c>
      <c r="S235" s="51" t="s">
        <v>179</v>
      </c>
      <c r="T235" s="248" t="str">
        <f>IFERROR(VLOOKUP(S235,TD!$J$34:$K$44,2,0)," ")</f>
        <v>Infraestructura Tecnológica   (Sistemas de Información y Tecnologia)</v>
      </c>
      <c r="U235" s="249" t="str">
        <f>CONCATENATE(S235,"-",T235)</f>
        <v>11-Infraestructura Tecnológica   (Sistemas de Información y Tecnologia)</v>
      </c>
      <c r="V235" s="51" t="s">
        <v>235</v>
      </c>
      <c r="W235" s="248" t="str">
        <f>IFERROR(VLOOKUP(V235,TD!$N$34:$O$46,2,0)," ")</f>
        <v>"Servicio de monitoreo y seguimiento para la gestión del riesgo"</v>
      </c>
      <c r="X235" s="249" t="str">
        <f>CONCATENATE(V235,"_",W235)</f>
        <v>018_"Servicio de monitoreo y seguimiento para la gestión del riesgo"</v>
      </c>
      <c r="Y235" s="249" t="str">
        <f>CONCATENATE(U235," ",X235)</f>
        <v>11-Infraestructura Tecnológica   (Sistemas de Información y Tecnologia) 018_"Servicio de monitoreo y seguimiento para la gestión del riesgo"</v>
      </c>
      <c r="Z235" s="248" t="str">
        <f>CONCATENATE(P235,Q235,R235,S235,V235)</f>
        <v>O23011745032024025511018</v>
      </c>
      <c r="AA235" s="248" t="str">
        <f>IFERROR(VLOOKUP(Y235,TD!$K$47:$L$65,2,0)," ")</f>
        <v>PM/0131/0111/45030180255</v>
      </c>
      <c r="AB235" s="53" t="s">
        <v>138</v>
      </c>
      <c r="AC235" s="250" t="s">
        <v>204</v>
      </c>
    </row>
    <row r="236" spans="2:29" s="28" customFormat="1" ht="42" x14ac:dyDescent="0.35">
      <c r="B236" s="127">
        <v>20250239</v>
      </c>
      <c r="C236" s="129" t="s">
        <v>209</v>
      </c>
      <c r="D236" s="251" t="s">
        <v>167</v>
      </c>
      <c r="E236" s="252" t="s">
        <v>505</v>
      </c>
      <c r="F236" s="251" t="s">
        <v>514</v>
      </c>
      <c r="G236" s="251" t="s">
        <v>156</v>
      </c>
      <c r="H236" s="130">
        <v>80111600</v>
      </c>
      <c r="I236" s="253">
        <v>1</v>
      </c>
      <c r="J236" s="253">
        <v>10</v>
      </c>
      <c r="K236" s="126">
        <v>0</v>
      </c>
      <c r="L236" s="125">
        <f>44000000-9000000-7000000</f>
        <v>28000000</v>
      </c>
      <c r="M236" s="251" t="s">
        <v>464</v>
      </c>
      <c r="N236" s="125" t="s">
        <v>508</v>
      </c>
      <c r="O236" s="252" t="s">
        <v>221</v>
      </c>
      <c r="P236" s="254" t="str">
        <f>IFERROR(VLOOKUP(C236,TD!$B$33:$F$37,2,0)," ")</f>
        <v>O230117</v>
      </c>
      <c r="Q236" s="254" t="str">
        <f>IFERROR(VLOOKUP(C236,TD!$B$33:$F$37,3,0)," ")</f>
        <v>4503</v>
      </c>
      <c r="R236" s="254">
        <f>IFERROR(VLOOKUP(C236,TD!$B$33:$F$37,4,0)," ")</f>
        <v>20240255</v>
      </c>
      <c r="S236" s="252" t="s">
        <v>177</v>
      </c>
      <c r="T236" s="254" t="str">
        <f>IFERROR(VLOOKUP(S236,TD!$J$34:$K$44,2,0)," ")</f>
        <v>Servicio de capacitaciones en gestión del riesgo de incendios  a la ciudadania.</v>
      </c>
      <c r="U236" s="249" t="str">
        <f>CONCATENATE(S236,"-",T236)</f>
        <v>05-Servicio de capacitaciones en gestión del riesgo de incendios  a la ciudadania.</v>
      </c>
      <c r="V236" s="252" t="s">
        <v>233</v>
      </c>
      <c r="W236" s="254" t="str">
        <f>IFERROR(VLOOKUP(V236,TD!$N$34:$O$46,2,0)," ")</f>
        <v>Servicio de educación informal</v>
      </c>
      <c r="X236" s="249" t="str">
        <f>CONCATENATE(V236,"_",W236)</f>
        <v>002_Servicio de educación informal</v>
      </c>
      <c r="Y236" s="249" t="str">
        <f>CONCATENATE(U236," ",X236)</f>
        <v>05-Servicio de capacitaciones en gestión del riesgo de incendios  a la ciudadania. 002_Servicio de educación informal</v>
      </c>
      <c r="Z236" s="254" t="str">
        <f>CONCATENATE(P236,Q236,R236,S236,V236)</f>
        <v>O23011745032024025505002</v>
      </c>
      <c r="AA236" s="254" t="str">
        <f>IFERROR(VLOOKUP(Y236,TD!$K$47:$L$65,2,0)," ")</f>
        <v>PM/0131/0105/45030020255</v>
      </c>
      <c r="AB236" s="125" t="s">
        <v>138</v>
      </c>
      <c r="AC236" s="255" t="s">
        <v>204</v>
      </c>
    </row>
    <row r="237" spans="2:29" s="28" customFormat="1" ht="42" x14ac:dyDescent="0.35">
      <c r="B237" s="77">
        <v>20250240</v>
      </c>
      <c r="C237" s="50" t="s">
        <v>209</v>
      </c>
      <c r="D237" s="246" t="s">
        <v>167</v>
      </c>
      <c r="E237" s="51" t="s">
        <v>505</v>
      </c>
      <c r="F237" s="246" t="s">
        <v>515</v>
      </c>
      <c r="G237" s="246" t="s">
        <v>155</v>
      </c>
      <c r="H237" s="93">
        <v>80111600</v>
      </c>
      <c r="I237" s="247">
        <v>1</v>
      </c>
      <c r="J237" s="253">
        <v>10</v>
      </c>
      <c r="K237" s="126">
        <v>0</v>
      </c>
      <c r="L237" s="125">
        <f>77000000+3000000</f>
        <v>80000000</v>
      </c>
      <c r="M237" s="246" t="s">
        <v>464</v>
      </c>
      <c r="N237" s="53" t="s">
        <v>508</v>
      </c>
      <c r="O237" s="51" t="s">
        <v>225</v>
      </c>
      <c r="P237" s="248" t="str">
        <f>IFERROR(VLOOKUP(C237,TD!$B$33:$F$37,2,0)," ")</f>
        <v>O230117</v>
      </c>
      <c r="Q237" s="248" t="str">
        <f>IFERROR(VLOOKUP(C237,TD!$B$33:$F$37,3,0)," ")</f>
        <v>4503</v>
      </c>
      <c r="R237" s="248">
        <f>IFERROR(VLOOKUP(C237,TD!$B$33:$F$37,4,0)," ")</f>
        <v>20240255</v>
      </c>
      <c r="S237" s="51" t="s">
        <v>179</v>
      </c>
      <c r="T237" s="248" t="str">
        <f>IFERROR(VLOOKUP(S237,TD!$J$34:$K$44,2,0)," ")</f>
        <v>Infraestructura Tecnológica   (Sistemas de Información y Tecnologia)</v>
      </c>
      <c r="U237" s="249" t="str">
        <f>CONCATENATE(S237,"-",T237)</f>
        <v>11-Infraestructura Tecnológica   (Sistemas de Información y Tecnologia)</v>
      </c>
      <c r="V237" s="51" t="s">
        <v>235</v>
      </c>
      <c r="W237" s="248" t="str">
        <f>IFERROR(VLOOKUP(V237,TD!$N$34:$O$46,2,0)," ")</f>
        <v>"Servicio de monitoreo y seguimiento para la gestión del riesgo"</v>
      </c>
      <c r="X237" s="249" t="str">
        <f>CONCATENATE(V237,"_",W237)</f>
        <v>018_"Servicio de monitoreo y seguimiento para la gestión del riesgo"</v>
      </c>
      <c r="Y237" s="249" t="str">
        <f>CONCATENATE(U237," ",X237)</f>
        <v>11-Infraestructura Tecnológica   (Sistemas de Información y Tecnologia) 018_"Servicio de monitoreo y seguimiento para la gestión del riesgo"</v>
      </c>
      <c r="Z237" s="248" t="str">
        <f>CONCATENATE(P237,Q237,R237,S237,V237)</f>
        <v>O23011745032024025511018</v>
      </c>
      <c r="AA237" s="248" t="str">
        <f>IFERROR(VLOOKUP(Y237,TD!$K$47:$L$65,2,0)," ")</f>
        <v>PM/0131/0111/45030180255</v>
      </c>
      <c r="AB237" s="53" t="s">
        <v>138</v>
      </c>
      <c r="AC237" s="250" t="s">
        <v>204</v>
      </c>
    </row>
    <row r="238" spans="2:29" s="28" customFormat="1" ht="42" x14ac:dyDescent="0.35">
      <c r="B238" s="77">
        <v>20250241</v>
      </c>
      <c r="C238" s="50" t="s">
        <v>209</v>
      </c>
      <c r="D238" s="246" t="s">
        <v>167</v>
      </c>
      <c r="E238" s="51" t="s">
        <v>505</v>
      </c>
      <c r="F238" s="246" t="s">
        <v>515</v>
      </c>
      <c r="G238" s="246" t="s">
        <v>155</v>
      </c>
      <c r="H238" s="93">
        <v>80111600</v>
      </c>
      <c r="I238" s="247">
        <v>1</v>
      </c>
      <c r="J238" s="253">
        <v>10</v>
      </c>
      <c r="K238" s="126">
        <v>0</v>
      </c>
      <c r="L238" s="125">
        <f>77000000+3000000-24000000</f>
        <v>56000000</v>
      </c>
      <c r="M238" s="246" t="s">
        <v>464</v>
      </c>
      <c r="N238" s="53" t="s">
        <v>508</v>
      </c>
      <c r="O238" s="51" t="s">
        <v>225</v>
      </c>
      <c r="P238" s="248" t="str">
        <f>IFERROR(VLOOKUP(C238,TD!$B$33:$F$37,2,0)," ")</f>
        <v>O230117</v>
      </c>
      <c r="Q238" s="248" t="str">
        <f>IFERROR(VLOOKUP(C238,TD!$B$33:$F$37,3,0)," ")</f>
        <v>4503</v>
      </c>
      <c r="R238" s="248">
        <f>IFERROR(VLOOKUP(C238,TD!$B$33:$F$37,4,0)," ")</f>
        <v>20240255</v>
      </c>
      <c r="S238" s="51" t="s">
        <v>179</v>
      </c>
      <c r="T238" s="248" t="str">
        <f>IFERROR(VLOOKUP(S238,TD!$J$34:$K$44,2,0)," ")</f>
        <v>Infraestructura Tecnológica   (Sistemas de Información y Tecnologia)</v>
      </c>
      <c r="U238" s="249" t="str">
        <f>CONCATENATE(S238,"-",T238)</f>
        <v>11-Infraestructura Tecnológica   (Sistemas de Información y Tecnologia)</v>
      </c>
      <c r="V238" s="51" t="s">
        <v>235</v>
      </c>
      <c r="W238" s="248" t="str">
        <f>IFERROR(VLOOKUP(V238,TD!$N$34:$O$46,2,0)," ")</f>
        <v>"Servicio de monitoreo y seguimiento para la gestión del riesgo"</v>
      </c>
      <c r="X238" s="249" t="str">
        <f>CONCATENATE(V238,"_",W238)</f>
        <v>018_"Servicio de monitoreo y seguimiento para la gestión del riesgo"</v>
      </c>
      <c r="Y238" s="249" t="str">
        <f>CONCATENATE(U238," ",X238)</f>
        <v>11-Infraestructura Tecnológica   (Sistemas de Información y Tecnologia) 018_"Servicio de monitoreo y seguimiento para la gestión del riesgo"</v>
      </c>
      <c r="Z238" s="248" t="str">
        <f>CONCATENATE(P238,Q238,R238,S238,V238)</f>
        <v>O23011745032024025511018</v>
      </c>
      <c r="AA238" s="248" t="str">
        <f>IFERROR(VLOOKUP(Y238,TD!$K$47:$L$65,2,0)," ")</f>
        <v>PM/0131/0111/45030180255</v>
      </c>
      <c r="AB238" s="53" t="s">
        <v>138</v>
      </c>
      <c r="AC238" s="250" t="s">
        <v>204</v>
      </c>
    </row>
    <row r="239" spans="2:29" s="28" customFormat="1" ht="42" x14ac:dyDescent="0.35">
      <c r="B239" s="77">
        <v>20250242</v>
      </c>
      <c r="C239" s="50" t="s">
        <v>209</v>
      </c>
      <c r="D239" s="246" t="s">
        <v>167</v>
      </c>
      <c r="E239" s="51" t="s">
        <v>505</v>
      </c>
      <c r="F239" s="246" t="s">
        <v>515</v>
      </c>
      <c r="G239" s="246" t="s">
        <v>155</v>
      </c>
      <c r="H239" s="93">
        <v>80111600</v>
      </c>
      <c r="I239" s="247">
        <v>1</v>
      </c>
      <c r="J239" s="253">
        <v>10</v>
      </c>
      <c r="K239" s="126">
        <v>0</v>
      </c>
      <c r="L239" s="125">
        <f>77000000+3000000-24000000</f>
        <v>56000000</v>
      </c>
      <c r="M239" s="246" t="s">
        <v>464</v>
      </c>
      <c r="N239" s="53" t="s">
        <v>508</v>
      </c>
      <c r="O239" s="51" t="s">
        <v>225</v>
      </c>
      <c r="P239" s="248" t="str">
        <f>IFERROR(VLOOKUP(C239,TD!$B$33:$F$37,2,0)," ")</f>
        <v>O230117</v>
      </c>
      <c r="Q239" s="248" t="str">
        <f>IFERROR(VLOOKUP(C239,TD!$B$33:$F$37,3,0)," ")</f>
        <v>4503</v>
      </c>
      <c r="R239" s="248">
        <f>IFERROR(VLOOKUP(C239,TD!$B$33:$F$37,4,0)," ")</f>
        <v>20240255</v>
      </c>
      <c r="S239" s="51" t="s">
        <v>179</v>
      </c>
      <c r="T239" s="248" t="str">
        <f>IFERROR(VLOOKUP(S239,TD!$J$34:$K$44,2,0)," ")</f>
        <v>Infraestructura Tecnológica   (Sistemas de Información y Tecnologia)</v>
      </c>
      <c r="U239" s="249" t="str">
        <f>CONCATENATE(S239,"-",T239)</f>
        <v>11-Infraestructura Tecnológica   (Sistemas de Información y Tecnologia)</v>
      </c>
      <c r="V239" s="51" t="s">
        <v>235</v>
      </c>
      <c r="W239" s="248" t="str">
        <f>IFERROR(VLOOKUP(V239,TD!$N$34:$O$46,2,0)," ")</f>
        <v>"Servicio de monitoreo y seguimiento para la gestión del riesgo"</v>
      </c>
      <c r="X239" s="249" t="str">
        <f>CONCATENATE(V239,"_",W239)</f>
        <v>018_"Servicio de monitoreo y seguimiento para la gestión del riesgo"</v>
      </c>
      <c r="Y239" s="249" t="str">
        <f>CONCATENATE(U239," ",X239)</f>
        <v>11-Infraestructura Tecnológica   (Sistemas de Información y Tecnologia) 018_"Servicio de monitoreo y seguimiento para la gestión del riesgo"</v>
      </c>
      <c r="Z239" s="248" t="str">
        <f>CONCATENATE(P239,Q239,R239,S239,V239)</f>
        <v>O23011745032024025511018</v>
      </c>
      <c r="AA239" s="248" t="str">
        <f>IFERROR(VLOOKUP(Y239,TD!$K$47:$L$65,2,0)," ")</f>
        <v>PM/0131/0111/45030180255</v>
      </c>
      <c r="AB239" s="53" t="s">
        <v>138</v>
      </c>
      <c r="AC239" s="250" t="s">
        <v>204</v>
      </c>
    </row>
    <row r="240" spans="2:29" s="28" customFormat="1" ht="42" x14ac:dyDescent="0.35">
      <c r="B240" s="77">
        <v>20250243</v>
      </c>
      <c r="C240" s="50" t="s">
        <v>209</v>
      </c>
      <c r="D240" s="246" t="s">
        <v>167</v>
      </c>
      <c r="E240" s="51" t="s">
        <v>505</v>
      </c>
      <c r="F240" s="246" t="s">
        <v>373</v>
      </c>
      <c r="G240" s="246" t="s">
        <v>155</v>
      </c>
      <c r="H240" s="93">
        <v>80111600</v>
      </c>
      <c r="I240" s="247">
        <v>1</v>
      </c>
      <c r="J240" s="253">
        <v>10</v>
      </c>
      <c r="K240" s="126">
        <v>0</v>
      </c>
      <c r="L240" s="125">
        <v>49000000</v>
      </c>
      <c r="M240" s="246" t="s">
        <v>464</v>
      </c>
      <c r="N240" s="53" t="s">
        <v>508</v>
      </c>
      <c r="O240" s="51" t="s">
        <v>221</v>
      </c>
      <c r="P240" s="248" t="str">
        <f>IFERROR(VLOOKUP(C240,TD!$B$33:$F$37,2,0)," ")</f>
        <v>O230117</v>
      </c>
      <c r="Q240" s="248" t="str">
        <f>IFERROR(VLOOKUP(C240,TD!$B$33:$F$37,3,0)," ")</f>
        <v>4503</v>
      </c>
      <c r="R240" s="248">
        <f>IFERROR(VLOOKUP(C240,TD!$B$33:$F$37,4,0)," ")</f>
        <v>20240255</v>
      </c>
      <c r="S240" s="51" t="s">
        <v>181</v>
      </c>
      <c r="T240" s="248" t="str">
        <f>IFERROR(VLOOKUP(S240,TD!$J$34:$K$44,2,0)," ")</f>
        <v>Servicio de inspecciones técnicas realizadas</v>
      </c>
      <c r="U240" s="249" t="str">
        <f>CONCATENATE(S240,"-",T240)</f>
        <v>06-Servicio de inspecciones técnicas realizadas</v>
      </c>
      <c r="V240" s="51" t="s">
        <v>234</v>
      </c>
      <c r="W240" s="248" t="str">
        <f>IFERROR(VLOOKUP(V240,TD!$N$34:$O$46,2,0)," ")</f>
        <v>Servicio prevención y control de incendios</v>
      </c>
      <c r="X240" s="249" t="str">
        <f>CONCATENATE(V240,"_",W240)</f>
        <v>035_Servicio prevención y control de incendios</v>
      </c>
      <c r="Y240" s="249" t="str">
        <f>CONCATENATE(U240," ",X240)</f>
        <v>06-Servicio de inspecciones técnicas realizadas 035_Servicio prevención y control de incendios</v>
      </c>
      <c r="Z240" s="248" t="str">
        <f>CONCATENATE(P240,Q240,R240,S240,V240)</f>
        <v>O23011745032024025506035</v>
      </c>
      <c r="AA240" s="248" t="str">
        <f>IFERROR(VLOOKUP(Y240,TD!$K$47:$L$65,2,0)," ")</f>
        <v>PM/0131/0106/45030350255</v>
      </c>
      <c r="AB240" s="53" t="s">
        <v>138</v>
      </c>
      <c r="AC240" s="250" t="s">
        <v>204</v>
      </c>
    </row>
    <row r="241" spans="2:29" s="28" customFormat="1" ht="56" x14ac:dyDescent="0.35">
      <c r="B241" s="127">
        <v>20250244</v>
      </c>
      <c r="C241" s="129" t="s">
        <v>209</v>
      </c>
      <c r="D241" s="251" t="s">
        <v>167</v>
      </c>
      <c r="E241" s="252" t="s">
        <v>505</v>
      </c>
      <c r="F241" s="251" t="s">
        <v>373</v>
      </c>
      <c r="G241" s="251" t="s">
        <v>155</v>
      </c>
      <c r="H241" s="130">
        <v>80111600</v>
      </c>
      <c r="I241" s="253">
        <v>1</v>
      </c>
      <c r="J241" s="253">
        <v>10</v>
      </c>
      <c r="K241" s="126">
        <v>0</v>
      </c>
      <c r="L241" s="125">
        <f>55000000+15000000-21000000</f>
        <v>49000000</v>
      </c>
      <c r="M241" s="251" t="s">
        <v>464</v>
      </c>
      <c r="N241" s="125" t="s">
        <v>508</v>
      </c>
      <c r="O241" s="252" t="s">
        <v>221</v>
      </c>
      <c r="P241" s="254" t="str">
        <f>IFERROR(VLOOKUP(C241,TD!$B$33:$F$37,2,0)," ")</f>
        <v>O230117</v>
      </c>
      <c r="Q241" s="254" t="str">
        <f>IFERROR(VLOOKUP(C241,TD!$B$33:$F$37,3,0)," ")</f>
        <v>4503</v>
      </c>
      <c r="R241" s="254">
        <f>IFERROR(VLOOKUP(C241,TD!$B$33:$F$37,4,0)," ")</f>
        <v>20240255</v>
      </c>
      <c r="S241" s="252" t="s">
        <v>181</v>
      </c>
      <c r="T241" s="254" t="str">
        <f>IFERROR(VLOOKUP(S241,TD!$J$34:$K$44,2,0)," ")</f>
        <v>Servicio de inspecciones técnicas realizadas</v>
      </c>
      <c r="U241" s="249" t="str">
        <f>CONCATENATE(S241,"-",T241)</f>
        <v>06-Servicio de inspecciones técnicas realizadas</v>
      </c>
      <c r="V241" s="252" t="s">
        <v>234</v>
      </c>
      <c r="W241" s="254" t="str">
        <f>IFERROR(VLOOKUP(V241,TD!$N$34:$O$46,2,0)," ")</f>
        <v>Servicio prevención y control de incendios</v>
      </c>
      <c r="X241" s="249" t="str">
        <f>CONCATENATE(V241,"_",W241)</f>
        <v>035_Servicio prevención y control de incendios</v>
      </c>
      <c r="Y241" s="249" t="str">
        <f>CONCATENATE(U241," ",X241)</f>
        <v>06-Servicio de inspecciones técnicas realizadas 035_Servicio prevención y control de incendios</v>
      </c>
      <c r="Z241" s="254" t="str">
        <f>CONCATENATE(P241,Q241,R241,S241,V241)</f>
        <v>O23011745032024025506035</v>
      </c>
      <c r="AA241" s="254" t="str">
        <f>IFERROR(VLOOKUP(Y241,TD!$K$47:$L$65,2,0)," ")</f>
        <v>PM/0131/0106/45030350255</v>
      </c>
      <c r="AB241" s="125" t="s">
        <v>138</v>
      </c>
      <c r="AC241" s="255" t="s">
        <v>204</v>
      </c>
    </row>
    <row r="242" spans="2:29" s="28" customFormat="1" ht="42" x14ac:dyDescent="0.35">
      <c r="B242" s="77">
        <v>20250245</v>
      </c>
      <c r="C242" s="50" t="s">
        <v>209</v>
      </c>
      <c r="D242" s="246" t="s">
        <v>167</v>
      </c>
      <c r="E242" s="51" t="s">
        <v>505</v>
      </c>
      <c r="F242" s="246" t="s">
        <v>515</v>
      </c>
      <c r="G242" s="246" t="s">
        <v>155</v>
      </c>
      <c r="H242" s="93">
        <v>80111600</v>
      </c>
      <c r="I242" s="247">
        <v>1</v>
      </c>
      <c r="J242" s="253">
        <v>10</v>
      </c>
      <c r="K242" s="126">
        <v>0</v>
      </c>
      <c r="L242" s="125">
        <v>42000000</v>
      </c>
      <c r="M242" s="246" t="s">
        <v>464</v>
      </c>
      <c r="N242" s="53" t="s">
        <v>508</v>
      </c>
      <c r="O242" s="51" t="s">
        <v>225</v>
      </c>
      <c r="P242" s="248" t="str">
        <f>IFERROR(VLOOKUP(C242,TD!$B$33:$F$37,2,0)," ")</f>
        <v>O230117</v>
      </c>
      <c r="Q242" s="248" t="str">
        <f>IFERROR(VLOOKUP(C242,TD!$B$33:$F$37,3,0)," ")</f>
        <v>4503</v>
      </c>
      <c r="R242" s="248">
        <f>IFERROR(VLOOKUP(C242,TD!$B$33:$F$37,4,0)," ")</f>
        <v>20240255</v>
      </c>
      <c r="S242" s="51" t="s">
        <v>179</v>
      </c>
      <c r="T242" s="248" t="str">
        <f>IFERROR(VLOOKUP(S242,TD!$J$34:$K$44,2,0)," ")</f>
        <v>Infraestructura Tecnológica   (Sistemas de Información y Tecnologia)</v>
      </c>
      <c r="U242" s="249" t="str">
        <f>CONCATENATE(S242,"-",T242)</f>
        <v>11-Infraestructura Tecnológica   (Sistemas de Información y Tecnologia)</v>
      </c>
      <c r="V242" s="51" t="s">
        <v>235</v>
      </c>
      <c r="W242" s="248" t="str">
        <f>IFERROR(VLOOKUP(V242,TD!$N$34:$O$46,2,0)," ")</f>
        <v>"Servicio de monitoreo y seguimiento para la gestión del riesgo"</v>
      </c>
      <c r="X242" s="249" t="str">
        <f>CONCATENATE(V242,"_",W242)</f>
        <v>018_"Servicio de monitoreo y seguimiento para la gestión del riesgo"</v>
      </c>
      <c r="Y242" s="249" t="str">
        <f>CONCATENATE(U242," ",X242)</f>
        <v>11-Infraestructura Tecnológica   (Sistemas de Información y Tecnologia) 018_"Servicio de monitoreo y seguimiento para la gestión del riesgo"</v>
      </c>
      <c r="Z242" s="248" t="str">
        <f>CONCATENATE(P242,Q242,R242,S242,V242)</f>
        <v>O23011745032024025511018</v>
      </c>
      <c r="AA242" s="248" t="str">
        <f>IFERROR(VLOOKUP(Y242,TD!$K$47:$L$65,2,0)," ")</f>
        <v>PM/0131/0111/45030180255</v>
      </c>
      <c r="AB242" s="53" t="s">
        <v>138</v>
      </c>
      <c r="AC242" s="250" t="s">
        <v>204</v>
      </c>
    </row>
    <row r="243" spans="2:29" s="28" customFormat="1" ht="42" x14ac:dyDescent="0.35">
      <c r="B243" s="127">
        <v>20250246</v>
      </c>
      <c r="C243" s="129" t="s">
        <v>209</v>
      </c>
      <c r="D243" s="251" t="s">
        <v>167</v>
      </c>
      <c r="E243" s="252" t="s">
        <v>505</v>
      </c>
      <c r="F243" s="251" t="s">
        <v>516</v>
      </c>
      <c r="G243" s="251" t="s">
        <v>155</v>
      </c>
      <c r="H243" s="130">
        <v>80111600</v>
      </c>
      <c r="I243" s="253">
        <v>1</v>
      </c>
      <c r="J243" s="253">
        <v>10</v>
      </c>
      <c r="K243" s="126">
        <v>0</v>
      </c>
      <c r="L243" s="125">
        <f>77000000-17000000-11000000</f>
        <v>49000000</v>
      </c>
      <c r="M243" s="251" t="s">
        <v>464</v>
      </c>
      <c r="N243" s="125" t="s">
        <v>508</v>
      </c>
      <c r="O243" s="252" t="s">
        <v>226</v>
      </c>
      <c r="P243" s="254" t="str">
        <f>IFERROR(VLOOKUP(C243,TD!$B$33:$F$37,2,0)," ")</f>
        <v>O230117</v>
      </c>
      <c r="Q243" s="254" t="str">
        <f>IFERROR(VLOOKUP(C243,TD!$B$33:$F$37,3,0)," ")</f>
        <v>4503</v>
      </c>
      <c r="R243" s="254">
        <f>IFERROR(VLOOKUP(C243,TD!$B$33:$F$37,4,0)," ")</f>
        <v>20240255</v>
      </c>
      <c r="S243" s="252" t="s">
        <v>179</v>
      </c>
      <c r="T243" s="254" t="str">
        <f>IFERROR(VLOOKUP(S243,TD!$J$34:$K$44,2,0)," ")</f>
        <v>Infraestructura Tecnológica   (Sistemas de Información y Tecnologia)</v>
      </c>
      <c r="U243" s="249" t="str">
        <f>CONCATENATE(S243,"-",T243)</f>
        <v>11-Infraestructura Tecnológica   (Sistemas de Información y Tecnologia)</v>
      </c>
      <c r="V243" s="252" t="s">
        <v>235</v>
      </c>
      <c r="W243" s="254" t="str">
        <f>IFERROR(VLOOKUP(V243,TD!$N$34:$O$46,2,0)," ")</f>
        <v>"Servicio de monitoreo y seguimiento para la gestión del riesgo"</v>
      </c>
      <c r="X243" s="249" t="str">
        <f>CONCATENATE(V243,"_",W243)</f>
        <v>018_"Servicio de monitoreo y seguimiento para la gestión del riesgo"</v>
      </c>
      <c r="Y243" s="249" t="str">
        <f>CONCATENATE(U243," ",X243)</f>
        <v>11-Infraestructura Tecnológica   (Sistemas de Información y Tecnologia) 018_"Servicio de monitoreo y seguimiento para la gestión del riesgo"</v>
      </c>
      <c r="Z243" s="254" t="str">
        <f>CONCATENATE(P243,Q243,R243,S243,V243)</f>
        <v>O23011745032024025511018</v>
      </c>
      <c r="AA243" s="254" t="str">
        <f>IFERROR(VLOOKUP(Y243,TD!$K$47:$L$65,2,0)," ")</f>
        <v>PM/0131/0111/45030180255</v>
      </c>
      <c r="AB243" s="125" t="s">
        <v>138</v>
      </c>
      <c r="AC243" s="255" t="s">
        <v>204</v>
      </c>
    </row>
    <row r="244" spans="2:29" s="28" customFormat="1" ht="42" x14ac:dyDescent="0.35">
      <c r="B244" s="127">
        <v>20250247</v>
      </c>
      <c r="C244" s="129" t="s">
        <v>209</v>
      </c>
      <c r="D244" s="251" t="s">
        <v>167</v>
      </c>
      <c r="E244" s="252" t="s">
        <v>505</v>
      </c>
      <c r="F244" s="251" t="s">
        <v>516</v>
      </c>
      <c r="G244" s="251" t="s">
        <v>155</v>
      </c>
      <c r="H244" s="130">
        <v>80111600</v>
      </c>
      <c r="I244" s="253">
        <v>1</v>
      </c>
      <c r="J244" s="253">
        <v>10</v>
      </c>
      <c r="K244" s="126">
        <v>0</v>
      </c>
      <c r="L244" s="125">
        <f>77000000-27000000-11500000</f>
        <v>38500000</v>
      </c>
      <c r="M244" s="251" t="s">
        <v>464</v>
      </c>
      <c r="N244" s="125" t="s">
        <v>508</v>
      </c>
      <c r="O244" s="252" t="s">
        <v>226</v>
      </c>
      <c r="P244" s="254" t="str">
        <f>IFERROR(VLOOKUP(C244,TD!$B$33:$F$37,2,0)," ")</f>
        <v>O230117</v>
      </c>
      <c r="Q244" s="254" t="str">
        <f>IFERROR(VLOOKUP(C244,TD!$B$33:$F$37,3,0)," ")</f>
        <v>4503</v>
      </c>
      <c r="R244" s="254">
        <f>IFERROR(VLOOKUP(C244,TD!$B$33:$F$37,4,0)," ")</f>
        <v>20240255</v>
      </c>
      <c r="S244" s="252" t="s">
        <v>179</v>
      </c>
      <c r="T244" s="254" t="str">
        <f>IFERROR(VLOOKUP(S244,TD!$J$34:$K$44,2,0)," ")</f>
        <v>Infraestructura Tecnológica   (Sistemas de Información y Tecnologia)</v>
      </c>
      <c r="U244" s="249" t="str">
        <f>CONCATENATE(S244,"-",T244)</f>
        <v>11-Infraestructura Tecnológica   (Sistemas de Información y Tecnologia)</v>
      </c>
      <c r="V244" s="252" t="s">
        <v>235</v>
      </c>
      <c r="W244" s="254" t="str">
        <f>IFERROR(VLOOKUP(V244,TD!$N$34:$O$46,2,0)," ")</f>
        <v>"Servicio de monitoreo y seguimiento para la gestión del riesgo"</v>
      </c>
      <c r="X244" s="249" t="str">
        <f>CONCATENATE(V244,"_",W244)</f>
        <v>018_"Servicio de monitoreo y seguimiento para la gestión del riesgo"</v>
      </c>
      <c r="Y244" s="249" t="str">
        <f>CONCATENATE(U244," ",X244)</f>
        <v>11-Infraestructura Tecnológica   (Sistemas de Información y Tecnologia) 018_"Servicio de monitoreo y seguimiento para la gestión del riesgo"</v>
      </c>
      <c r="Z244" s="254" t="str">
        <f>CONCATENATE(P244,Q244,R244,S244,V244)</f>
        <v>O23011745032024025511018</v>
      </c>
      <c r="AA244" s="254" t="str">
        <f>IFERROR(VLOOKUP(Y244,TD!$K$47:$L$65,2,0)," ")</f>
        <v>PM/0131/0111/45030180255</v>
      </c>
      <c r="AB244" s="125" t="s">
        <v>138</v>
      </c>
      <c r="AC244" s="255" t="s">
        <v>204</v>
      </c>
    </row>
    <row r="245" spans="2:29" s="28" customFormat="1" ht="42" x14ac:dyDescent="0.35">
      <c r="B245" s="127">
        <v>20250248</v>
      </c>
      <c r="C245" s="129" t="s">
        <v>209</v>
      </c>
      <c r="D245" s="251" t="s">
        <v>167</v>
      </c>
      <c r="E245" s="252" t="s">
        <v>505</v>
      </c>
      <c r="F245" s="251" t="s">
        <v>820</v>
      </c>
      <c r="G245" s="251" t="s">
        <v>156</v>
      </c>
      <c r="H245" s="130">
        <v>80111600</v>
      </c>
      <c r="I245" s="253">
        <v>1</v>
      </c>
      <c r="J245" s="253">
        <v>10</v>
      </c>
      <c r="K245" s="126">
        <v>0</v>
      </c>
      <c r="L245" s="125">
        <v>14400000</v>
      </c>
      <c r="M245" s="251" t="s">
        <v>464</v>
      </c>
      <c r="N245" s="125" t="s">
        <v>508</v>
      </c>
      <c r="O245" s="252" t="s">
        <v>226</v>
      </c>
      <c r="P245" s="254" t="str">
        <f>IFERROR(VLOOKUP(C245,TD!$B$33:$F$37,2,0)," ")</f>
        <v>O230117</v>
      </c>
      <c r="Q245" s="254" t="str">
        <f>IFERROR(VLOOKUP(C245,TD!$B$33:$F$37,3,0)," ")</f>
        <v>4503</v>
      </c>
      <c r="R245" s="254">
        <f>IFERROR(VLOOKUP(C245,TD!$B$33:$F$37,4,0)," ")</f>
        <v>20240255</v>
      </c>
      <c r="S245" s="252" t="s">
        <v>179</v>
      </c>
      <c r="T245" s="254" t="str">
        <f>IFERROR(VLOOKUP(S245,TD!$J$34:$K$44,2,0)," ")</f>
        <v>Infraestructura Tecnológica   (Sistemas de Información y Tecnologia)</v>
      </c>
      <c r="U245" s="249" t="str">
        <f>CONCATENATE(S245,"-",T245)</f>
        <v>11-Infraestructura Tecnológica   (Sistemas de Información y Tecnologia)</v>
      </c>
      <c r="V245" s="252" t="s">
        <v>235</v>
      </c>
      <c r="W245" s="254" t="str">
        <f>IFERROR(VLOOKUP(V245,TD!$N$34:$O$46,2,0)," ")</f>
        <v>"Servicio de monitoreo y seguimiento para la gestión del riesgo"</v>
      </c>
      <c r="X245" s="249" t="str">
        <f>CONCATENATE(V245,"_",W245)</f>
        <v>018_"Servicio de monitoreo y seguimiento para la gestión del riesgo"</v>
      </c>
      <c r="Y245" s="249" t="str">
        <f>CONCATENATE(U245," ",X245)</f>
        <v>11-Infraestructura Tecnológica   (Sistemas de Información y Tecnologia) 018_"Servicio de monitoreo y seguimiento para la gestión del riesgo"</v>
      </c>
      <c r="Z245" s="254" t="str">
        <f>CONCATENATE(P245,Q245,R245,S245,V245)</f>
        <v>O23011745032024025511018</v>
      </c>
      <c r="AA245" s="254" t="str">
        <f>IFERROR(VLOOKUP(Y245,TD!$K$47:$L$65,2,0)," ")</f>
        <v>PM/0131/0111/45030180255</v>
      </c>
      <c r="AB245" s="125" t="s">
        <v>138</v>
      </c>
      <c r="AC245" s="255" t="s">
        <v>204</v>
      </c>
    </row>
    <row r="246" spans="2:29" s="28" customFormat="1" ht="42" x14ac:dyDescent="0.35">
      <c r="B246" s="127">
        <v>20250249</v>
      </c>
      <c r="C246" s="129" t="s">
        <v>209</v>
      </c>
      <c r="D246" s="251" t="s">
        <v>167</v>
      </c>
      <c r="E246" s="252" t="s">
        <v>505</v>
      </c>
      <c r="F246" s="251" t="s">
        <v>516</v>
      </c>
      <c r="G246" s="251" t="s">
        <v>155</v>
      </c>
      <c r="H246" s="130">
        <v>80111600</v>
      </c>
      <c r="I246" s="253">
        <v>1</v>
      </c>
      <c r="J246" s="253">
        <v>10</v>
      </c>
      <c r="K246" s="126">
        <v>0</v>
      </c>
      <c r="L246" s="125">
        <f>49500000+500000-15000000</f>
        <v>35000000</v>
      </c>
      <c r="M246" s="251" t="s">
        <v>464</v>
      </c>
      <c r="N246" s="125" t="s">
        <v>508</v>
      </c>
      <c r="O246" s="252" t="s">
        <v>226</v>
      </c>
      <c r="P246" s="254" t="str">
        <f>IFERROR(VLOOKUP(C246,TD!$B$33:$F$37,2,0)," ")</f>
        <v>O230117</v>
      </c>
      <c r="Q246" s="254" t="str">
        <f>IFERROR(VLOOKUP(C246,TD!$B$33:$F$37,3,0)," ")</f>
        <v>4503</v>
      </c>
      <c r="R246" s="254">
        <f>IFERROR(VLOOKUP(C246,TD!$B$33:$F$37,4,0)," ")</f>
        <v>20240255</v>
      </c>
      <c r="S246" s="252" t="s">
        <v>179</v>
      </c>
      <c r="T246" s="254" t="str">
        <f>IFERROR(VLOOKUP(S246,TD!$J$34:$K$44,2,0)," ")</f>
        <v>Infraestructura Tecnológica   (Sistemas de Información y Tecnologia)</v>
      </c>
      <c r="U246" s="249" t="str">
        <f>CONCATENATE(S246,"-",T246)</f>
        <v>11-Infraestructura Tecnológica   (Sistemas de Información y Tecnologia)</v>
      </c>
      <c r="V246" s="252" t="s">
        <v>235</v>
      </c>
      <c r="W246" s="254" t="str">
        <f>IFERROR(VLOOKUP(V246,TD!$N$34:$O$46,2,0)," ")</f>
        <v>"Servicio de monitoreo y seguimiento para la gestión del riesgo"</v>
      </c>
      <c r="X246" s="249" t="str">
        <f>CONCATENATE(V246,"_",W246)</f>
        <v>018_"Servicio de monitoreo y seguimiento para la gestión del riesgo"</v>
      </c>
      <c r="Y246" s="249" t="str">
        <f>CONCATENATE(U246," ",X246)</f>
        <v>11-Infraestructura Tecnológica   (Sistemas de Información y Tecnologia) 018_"Servicio de monitoreo y seguimiento para la gestión del riesgo"</v>
      </c>
      <c r="Z246" s="254" t="str">
        <f>CONCATENATE(P246,Q246,R246,S246,V246)</f>
        <v>O23011745032024025511018</v>
      </c>
      <c r="AA246" s="254" t="str">
        <f>IFERROR(VLOOKUP(Y246,TD!$K$47:$L$65,2,0)," ")</f>
        <v>PM/0131/0111/45030180255</v>
      </c>
      <c r="AB246" s="125" t="s">
        <v>138</v>
      </c>
      <c r="AC246" s="255" t="s">
        <v>204</v>
      </c>
    </row>
    <row r="247" spans="2:29" s="28" customFormat="1" ht="56" x14ac:dyDescent="0.35">
      <c r="B247" s="77">
        <v>20250250</v>
      </c>
      <c r="C247" s="50" t="s">
        <v>209</v>
      </c>
      <c r="D247" s="246" t="s">
        <v>167</v>
      </c>
      <c r="E247" s="51" t="s">
        <v>505</v>
      </c>
      <c r="F247" s="246" t="s">
        <v>372</v>
      </c>
      <c r="G247" s="246" t="s">
        <v>156</v>
      </c>
      <c r="H247" s="93">
        <v>80111600</v>
      </c>
      <c r="I247" s="247">
        <v>1</v>
      </c>
      <c r="J247" s="253">
        <v>10</v>
      </c>
      <c r="K247" s="126">
        <v>0</v>
      </c>
      <c r="L247" s="125">
        <v>30800000</v>
      </c>
      <c r="M247" s="246" t="s">
        <v>464</v>
      </c>
      <c r="N247" s="53" t="s">
        <v>508</v>
      </c>
      <c r="O247" s="51" t="s">
        <v>221</v>
      </c>
      <c r="P247" s="248" t="str">
        <f>IFERROR(VLOOKUP(C247,TD!$B$33:$F$37,2,0)," ")</f>
        <v>O230117</v>
      </c>
      <c r="Q247" s="248" t="str">
        <f>IFERROR(VLOOKUP(C247,TD!$B$33:$F$37,3,0)," ")</f>
        <v>4503</v>
      </c>
      <c r="R247" s="248">
        <f>IFERROR(VLOOKUP(C247,TD!$B$33:$F$37,4,0)," ")</f>
        <v>20240255</v>
      </c>
      <c r="S247" s="51" t="s">
        <v>181</v>
      </c>
      <c r="T247" s="248" t="str">
        <f>IFERROR(VLOOKUP(S247,TD!$J$34:$K$44,2,0)," ")</f>
        <v>Servicio de inspecciones técnicas realizadas</v>
      </c>
      <c r="U247" s="249" t="str">
        <f>CONCATENATE(S247,"-",T247)</f>
        <v>06-Servicio de inspecciones técnicas realizadas</v>
      </c>
      <c r="V247" s="51" t="s">
        <v>234</v>
      </c>
      <c r="W247" s="248" t="str">
        <f>IFERROR(VLOOKUP(V247,TD!$N$34:$O$46,2,0)," ")</f>
        <v>Servicio prevención y control de incendios</v>
      </c>
      <c r="X247" s="249" t="str">
        <f>CONCATENATE(V247,"_",W247)</f>
        <v>035_Servicio prevención y control de incendios</v>
      </c>
      <c r="Y247" s="249" t="str">
        <f>CONCATENATE(U247," ",X247)</f>
        <v>06-Servicio de inspecciones técnicas realizadas 035_Servicio prevención y control de incendios</v>
      </c>
      <c r="Z247" s="248" t="str">
        <f>CONCATENATE(P247,Q247,R247,S247,V247)</f>
        <v>O23011745032024025506035</v>
      </c>
      <c r="AA247" s="248" t="str">
        <f>IFERROR(VLOOKUP(Y247,TD!$K$47:$L$65,2,0)," ")</f>
        <v>PM/0131/0106/45030350255</v>
      </c>
      <c r="AB247" s="53" t="s">
        <v>138</v>
      </c>
      <c r="AC247" s="250" t="s">
        <v>204</v>
      </c>
    </row>
    <row r="248" spans="2:29" s="28" customFormat="1" ht="56" x14ac:dyDescent="0.35">
      <c r="B248" s="127">
        <v>20250251</v>
      </c>
      <c r="C248" s="129" t="s">
        <v>209</v>
      </c>
      <c r="D248" s="251" t="s">
        <v>167</v>
      </c>
      <c r="E248" s="252" t="s">
        <v>505</v>
      </c>
      <c r="F248" s="251" t="s">
        <v>678</v>
      </c>
      <c r="G248" s="251" t="s">
        <v>155</v>
      </c>
      <c r="H248" s="130">
        <v>80111600</v>
      </c>
      <c r="I248" s="253">
        <v>1</v>
      </c>
      <c r="J248" s="253">
        <v>10</v>
      </c>
      <c r="K248" s="126">
        <v>0</v>
      </c>
      <c r="L248" s="125">
        <f>55000000+35000000-26300000</f>
        <v>63700000</v>
      </c>
      <c r="M248" s="251" t="s">
        <v>464</v>
      </c>
      <c r="N248" s="125" t="s">
        <v>508</v>
      </c>
      <c r="O248" s="252" t="s">
        <v>226</v>
      </c>
      <c r="P248" s="254" t="str">
        <f>IFERROR(VLOOKUP(C248,TD!$B$33:$F$37,2,0)," ")</f>
        <v>O230117</v>
      </c>
      <c r="Q248" s="254" t="str">
        <f>IFERROR(VLOOKUP(C248,TD!$B$33:$F$37,3,0)," ")</f>
        <v>4503</v>
      </c>
      <c r="R248" s="254">
        <f>IFERROR(VLOOKUP(C248,TD!$B$33:$F$37,4,0)," ")</f>
        <v>20240255</v>
      </c>
      <c r="S248" s="252" t="s">
        <v>179</v>
      </c>
      <c r="T248" s="254" t="str">
        <f>IFERROR(VLOOKUP(S248,TD!$J$34:$K$44,2,0)," ")</f>
        <v>Infraestructura Tecnológica   (Sistemas de Información y Tecnologia)</v>
      </c>
      <c r="U248" s="249" t="str">
        <f>CONCATENATE(S248,"-",T248)</f>
        <v>11-Infraestructura Tecnológica   (Sistemas de Información y Tecnologia)</v>
      </c>
      <c r="V248" s="252" t="s">
        <v>235</v>
      </c>
      <c r="W248" s="254" t="str">
        <f>IFERROR(VLOOKUP(V248,TD!$N$34:$O$46,2,0)," ")</f>
        <v>"Servicio de monitoreo y seguimiento para la gestión del riesgo"</v>
      </c>
      <c r="X248" s="249" t="str">
        <f>CONCATENATE(V248,"_",W248)</f>
        <v>018_"Servicio de monitoreo y seguimiento para la gestión del riesgo"</v>
      </c>
      <c r="Y248" s="249" t="str">
        <f>CONCATENATE(U248," ",X248)</f>
        <v>11-Infraestructura Tecnológica   (Sistemas de Información y Tecnologia) 018_"Servicio de monitoreo y seguimiento para la gestión del riesgo"</v>
      </c>
      <c r="Z248" s="254" t="str">
        <f>CONCATENATE(P248,Q248,R248,S248,V248)</f>
        <v>O23011745032024025511018</v>
      </c>
      <c r="AA248" s="254" t="str">
        <f>IFERROR(VLOOKUP(Y248,TD!$K$47:$L$65,2,0)," ")</f>
        <v>PM/0131/0111/45030180255</v>
      </c>
      <c r="AB248" s="125" t="s">
        <v>138</v>
      </c>
      <c r="AC248" s="255" t="s">
        <v>204</v>
      </c>
    </row>
    <row r="249" spans="2:29" s="28" customFormat="1" ht="56" x14ac:dyDescent="0.35">
      <c r="B249" s="77">
        <v>20250252</v>
      </c>
      <c r="C249" s="50" t="s">
        <v>209</v>
      </c>
      <c r="D249" s="246" t="s">
        <v>167</v>
      </c>
      <c r="E249" s="51" t="s">
        <v>505</v>
      </c>
      <c r="F249" s="246" t="s">
        <v>517</v>
      </c>
      <c r="G249" s="246" t="s">
        <v>155</v>
      </c>
      <c r="H249" s="93">
        <v>80111600</v>
      </c>
      <c r="I249" s="247">
        <v>1</v>
      </c>
      <c r="J249" s="253">
        <v>10</v>
      </c>
      <c r="K249" s="126">
        <v>0</v>
      </c>
      <c r="L249" s="125">
        <v>42000000</v>
      </c>
      <c r="M249" s="246" t="s">
        <v>464</v>
      </c>
      <c r="N249" s="53" t="s">
        <v>508</v>
      </c>
      <c r="O249" s="51" t="s">
        <v>226</v>
      </c>
      <c r="P249" s="248" t="str">
        <f>IFERROR(VLOOKUP(C249,TD!$B$33:$F$37,2,0)," ")</f>
        <v>O230117</v>
      </c>
      <c r="Q249" s="248" t="str">
        <f>IFERROR(VLOOKUP(C249,TD!$B$33:$F$37,3,0)," ")</f>
        <v>4503</v>
      </c>
      <c r="R249" s="248">
        <f>IFERROR(VLOOKUP(C249,TD!$B$33:$F$37,4,0)," ")</f>
        <v>20240255</v>
      </c>
      <c r="S249" s="51" t="s">
        <v>179</v>
      </c>
      <c r="T249" s="248" t="str">
        <f>IFERROR(VLOOKUP(S249,TD!$J$34:$K$44,2,0)," ")</f>
        <v>Infraestructura Tecnológica   (Sistemas de Información y Tecnologia)</v>
      </c>
      <c r="U249" s="249" t="str">
        <f>CONCATENATE(S249,"-",T249)</f>
        <v>11-Infraestructura Tecnológica   (Sistemas de Información y Tecnologia)</v>
      </c>
      <c r="V249" s="51" t="s">
        <v>235</v>
      </c>
      <c r="W249" s="248" t="str">
        <f>IFERROR(VLOOKUP(V249,TD!$N$34:$O$46,2,0)," ")</f>
        <v>"Servicio de monitoreo y seguimiento para la gestión del riesgo"</v>
      </c>
      <c r="X249" s="249" t="str">
        <f>CONCATENATE(V249,"_",W249)</f>
        <v>018_"Servicio de monitoreo y seguimiento para la gestión del riesgo"</v>
      </c>
      <c r="Y249" s="249" t="str">
        <f>CONCATENATE(U249," ",X249)</f>
        <v>11-Infraestructura Tecnológica   (Sistemas de Información y Tecnologia) 018_"Servicio de monitoreo y seguimiento para la gestión del riesgo"</v>
      </c>
      <c r="Z249" s="248" t="str">
        <f>CONCATENATE(P249,Q249,R249,S249,V249)</f>
        <v>O23011745032024025511018</v>
      </c>
      <c r="AA249" s="248" t="str">
        <f>IFERROR(VLOOKUP(Y249,TD!$K$47:$L$65,2,0)," ")</f>
        <v>PM/0131/0111/45030180255</v>
      </c>
      <c r="AB249" s="53" t="s">
        <v>138</v>
      </c>
      <c r="AC249" s="250" t="s">
        <v>204</v>
      </c>
    </row>
    <row r="250" spans="2:29" s="28" customFormat="1" ht="56" x14ac:dyDescent="0.35">
      <c r="B250" s="77">
        <v>20250253</v>
      </c>
      <c r="C250" s="50" t="s">
        <v>209</v>
      </c>
      <c r="D250" s="246" t="s">
        <v>167</v>
      </c>
      <c r="E250" s="51" t="s">
        <v>505</v>
      </c>
      <c r="F250" s="246" t="s">
        <v>517</v>
      </c>
      <c r="G250" s="246" t="s">
        <v>155</v>
      </c>
      <c r="H250" s="93">
        <v>80111600</v>
      </c>
      <c r="I250" s="247">
        <v>1</v>
      </c>
      <c r="J250" s="253">
        <v>10</v>
      </c>
      <c r="K250" s="126">
        <v>0</v>
      </c>
      <c r="L250" s="125">
        <v>35000000</v>
      </c>
      <c r="M250" s="246" t="s">
        <v>464</v>
      </c>
      <c r="N250" s="53" t="s">
        <v>508</v>
      </c>
      <c r="O250" s="51" t="s">
        <v>226</v>
      </c>
      <c r="P250" s="248" t="str">
        <f>IFERROR(VLOOKUP(C250,TD!$B$33:$F$37,2,0)," ")</f>
        <v>O230117</v>
      </c>
      <c r="Q250" s="248" t="str">
        <f>IFERROR(VLOOKUP(C250,TD!$B$33:$F$37,3,0)," ")</f>
        <v>4503</v>
      </c>
      <c r="R250" s="248">
        <f>IFERROR(VLOOKUP(C250,TD!$B$33:$F$37,4,0)," ")</f>
        <v>20240255</v>
      </c>
      <c r="S250" s="51" t="s">
        <v>179</v>
      </c>
      <c r="T250" s="248" t="str">
        <f>IFERROR(VLOOKUP(S250,TD!$J$34:$K$44,2,0)," ")</f>
        <v>Infraestructura Tecnológica   (Sistemas de Información y Tecnologia)</v>
      </c>
      <c r="U250" s="249" t="str">
        <f>CONCATENATE(S250,"-",T250)</f>
        <v>11-Infraestructura Tecnológica   (Sistemas de Información y Tecnologia)</v>
      </c>
      <c r="V250" s="51" t="s">
        <v>235</v>
      </c>
      <c r="W250" s="248" t="str">
        <f>IFERROR(VLOOKUP(V250,TD!$N$34:$O$46,2,0)," ")</f>
        <v>"Servicio de monitoreo y seguimiento para la gestión del riesgo"</v>
      </c>
      <c r="X250" s="249" t="str">
        <f>CONCATENATE(V250,"_",W250)</f>
        <v>018_"Servicio de monitoreo y seguimiento para la gestión del riesgo"</v>
      </c>
      <c r="Y250" s="249" t="str">
        <f>CONCATENATE(U250," ",X250)</f>
        <v>11-Infraestructura Tecnológica   (Sistemas de Información y Tecnologia) 018_"Servicio de monitoreo y seguimiento para la gestión del riesgo"</v>
      </c>
      <c r="Z250" s="248" t="str">
        <f>CONCATENATE(P250,Q250,R250,S250,V250)</f>
        <v>O23011745032024025511018</v>
      </c>
      <c r="AA250" s="248" t="str">
        <f>IFERROR(VLOOKUP(Y250,TD!$K$47:$L$65,2,0)," ")</f>
        <v>PM/0131/0111/45030180255</v>
      </c>
      <c r="AB250" s="53" t="s">
        <v>138</v>
      </c>
      <c r="AC250" s="250" t="s">
        <v>204</v>
      </c>
    </row>
    <row r="251" spans="2:29" s="28" customFormat="1" ht="56" x14ac:dyDescent="0.35">
      <c r="B251" s="77">
        <v>20250254</v>
      </c>
      <c r="C251" s="50" t="s">
        <v>209</v>
      </c>
      <c r="D251" s="246" t="s">
        <v>167</v>
      </c>
      <c r="E251" s="51" t="s">
        <v>505</v>
      </c>
      <c r="F251" s="246" t="s">
        <v>517</v>
      </c>
      <c r="G251" s="246" t="s">
        <v>155</v>
      </c>
      <c r="H251" s="93">
        <v>80111600</v>
      </c>
      <c r="I251" s="247">
        <v>1</v>
      </c>
      <c r="J251" s="253">
        <v>10</v>
      </c>
      <c r="K251" s="126">
        <v>0</v>
      </c>
      <c r="L251" s="125">
        <v>35000000</v>
      </c>
      <c r="M251" s="246" t="s">
        <v>464</v>
      </c>
      <c r="N251" s="53" t="s">
        <v>508</v>
      </c>
      <c r="O251" s="51" t="s">
        <v>226</v>
      </c>
      <c r="P251" s="248" t="str">
        <f>IFERROR(VLOOKUP(C251,TD!$B$33:$F$37,2,0)," ")</f>
        <v>O230117</v>
      </c>
      <c r="Q251" s="248" t="str">
        <f>IFERROR(VLOOKUP(C251,TD!$B$33:$F$37,3,0)," ")</f>
        <v>4503</v>
      </c>
      <c r="R251" s="248">
        <f>IFERROR(VLOOKUP(C251,TD!$B$33:$F$37,4,0)," ")</f>
        <v>20240255</v>
      </c>
      <c r="S251" s="51" t="s">
        <v>179</v>
      </c>
      <c r="T251" s="248" t="str">
        <f>IFERROR(VLOOKUP(S251,TD!$J$34:$K$44,2,0)," ")</f>
        <v>Infraestructura Tecnológica   (Sistemas de Información y Tecnologia)</v>
      </c>
      <c r="U251" s="249" t="str">
        <f>CONCATENATE(S251,"-",T251)</f>
        <v>11-Infraestructura Tecnológica   (Sistemas de Información y Tecnologia)</v>
      </c>
      <c r="V251" s="51" t="s">
        <v>235</v>
      </c>
      <c r="W251" s="248" t="str">
        <f>IFERROR(VLOOKUP(V251,TD!$N$34:$O$46,2,0)," ")</f>
        <v>"Servicio de monitoreo y seguimiento para la gestión del riesgo"</v>
      </c>
      <c r="X251" s="249" t="str">
        <f>CONCATENATE(V251,"_",W251)</f>
        <v>018_"Servicio de monitoreo y seguimiento para la gestión del riesgo"</v>
      </c>
      <c r="Y251" s="249" t="str">
        <f>CONCATENATE(U251," ",X251)</f>
        <v>11-Infraestructura Tecnológica   (Sistemas de Información y Tecnologia) 018_"Servicio de monitoreo y seguimiento para la gestión del riesgo"</v>
      </c>
      <c r="Z251" s="248" t="str">
        <f>CONCATENATE(P251,Q251,R251,S251,V251)</f>
        <v>O23011745032024025511018</v>
      </c>
      <c r="AA251" s="248" t="str">
        <f>IFERROR(VLOOKUP(Y251,TD!$K$47:$L$65,2,0)," ")</f>
        <v>PM/0131/0111/45030180255</v>
      </c>
      <c r="AB251" s="53" t="s">
        <v>138</v>
      </c>
      <c r="AC251" s="250" t="s">
        <v>204</v>
      </c>
    </row>
    <row r="252" spans="2:29" s="28" customFormat="1" ht="56" x14ac:dyDescent="0.35">
      <c r="B252" s="77">
        <v>20250259</v>
      </c>
      <c r="C252" s="50" t="s">
        <v>209</v>
      </c>
      <c r="D252" s="246" t="s">
        <v>167</v>
      </c>
      <c r="E252" s="51" t="s">
        <v>505</v>
      </c>
      <c r="F252" s="246" t="s">
        <v>374</v>
      </c>
      <c r="G252" s="246" t="s">
        <v>156</v>
      </c>
      <c r="H252" s="93">
        <v>80111600</v>
      </c>
      <c r="I252" s="247">
        <v>1</v>
      </c>
      <c r="J252" s="253">
        <v>10</v>
      </c>
      <c r="K252" s="126">
        <v>0</v>
      </c>
      <c r="L252" s="125">
        <v>28000000</v>
      </c>
      <c r="M252" s="246" t="s">
        <v>464</v>
      </c>
      <c r="N252" s="53" t="s">
        <v>508</v>
      </c>
      <c r="O252" s="51" t="s">
        <v>226</v>
      </c>
      <c r="P252" s="248" t="str">
        <f>IFERROR(VLOOKUP(C252,TD!$B$33:$F$37,2,0)," ")</f>
        <v>O230117</v>
      </c>
      <c r="Q252" s="248" t="str">
        <f>IFERROR(VLOOKUP(C252,TD!$B$33:$F$37,3,0)," ")</f>
        <v>4503</v>
      </c>
      <c r="R252" s="248">
        <f>IFERROR(VLOOKUP(C252,TD!$B$33:$F$37,4,0)," ")</f>
        <v>20240255</v>
      </c>
      <c r="S252" s="51" t="s">
        <v>179</v>
      </c>
      <c r="T252" s="248" t="str">
        <f>IFERROR(VLOOKUP(S252,TD!$J$34:$K$44,2,0)," ")</f>
        <v>Infraestructura Tecnológica   (Sistemas de Información y Tecnologia)</v>
      </c>
      <c r="U252" s="249" t="str">
        <f>CONCATENATE(S252,"-",T252)</f>
        <v>11-Infraestructura Tecnológica   (Sistemas de Información y Tecnologia)</v>
      </c>
      <c r="V252" s="51" t="s">
        <v>235</v>
      </c>
      <c r="W252" s="248" t="str">
        <f>IFERROR(VLOOKUP(V252,TD!$N$34:$O$46,2,0)," ")</f>
        <v>"Servicio de monitoreo y seguimiento para la gestión del riesgo"</v>
      </c>
      <c r="X252" s="249" t="str">
        <f>CONCATENATE(V252,"_",W252)</f>
        <v>018_"Servicio de monitoreo y seguimiento para la gestión del riesgo"</v>
      </c>
      <c r="Y252" s="249" t="str">
        <f>CONCATENATE(U252," ",X252)</f>
        <v>11-Infraestructura Tecnológica   (Sistemas de Información y Tecnologia) 018_"Servicio de monitoreo y seguimiento para la gestión del riesgo"</v>
      </c>
      <c r="Z252" s="248" t="str">
        <f>CONCATENATE(P252,Q252,R252,S252,V252)</f>
        <v>O23011745032024025511018</v>
      </c>
      <c r="AA252" s="248" t="str">
        <f>IFERROR(VLOOKUP(Y252,TD!$K$47:$L$65,2,0)," ")</f>
        <v>PM/0131/0111/45030180255</v>
      </c>
      <c r="AB252" s="53" t="s">
        <v>138</v>
      </c>
      <c r="AC252" s="250" t="s">
        <v>204</v>
      </c>
    </row>
    <row r="253" spans="2:29" s="28" customFormat="1" ht="70" x14ac:dyDescent="0.35">
      <c r="B253" s="77">
        <v>20250260</v>
      </c>
      <c r="C253" s="50" t="s">
        <v>209</v>
      </c>
      <c r="D253" s="246" t="s">
        <v>167</v>
      </c>
      <c r="E253" s="51" t="s">
        <v>505</v>
      </c>
      <c r="F253" s="246" t="s">
        <v>679</v>
      </c>
      <c r="G253" s="246" t="s">
        <v>155</v>
      </c>
      <c r="H253" s="93">
        <v>80111600</v>
      </c>
      <c r="I253" s="247">
        <v>1</v>
      </c>
      <c r="J253" s="253">
        <v>11</v>
      </c>
      <c r="K253" s="126">
        <v>0</v>
      </c>
      <c r="L253" s="125">
        <f>77000000+11000000</f>
        <v>88000000</v>
      </c>
      <c r="M253" s="246" t="s">
        <v>464</v>
      </c>
      <c r="N253" s="53" t="s">
        <v>508</v>
      </c>
      <c r="O253" s="51" t="s">
        <v>221</v>
      </c>
      <c r="P253" s="248" t="str">
        <f>IFERROR(VLOOKUP(C253,TD!$B$33:$F$37,2,0)," ")</f>
        <v>O230117</v>
      </c>
      <c r="Q253" s="248" t="str">
        <f>IFERROR(VLOOKUP(C253,TD!$B$33:$F$37,3,0)," ")</f>
        <v>4503</v>
      </c>
      <c r="R253" s="248">
        <f>IFERROR(VLOOKUP(C253,TD!$B$33:$F$37,4,0)," ")</f>
        <v>20240255</v>
      </c>
      <c r="S253" s="51" t="s">
        <v>177</v>
      </c>
      <c r="T253" s="248" t="str">
        <f>IFERROR(VLOOKUP(S253,TD!$J$34:$K$44,2,0)," ")</f>
        <v>Servicio de capacitaciones en gestión del riesgo de incendios  a la ciudadania.</v>
      </c>
      <c r="U253" s="249" t="str">
        <f>CONCATENATE(S253,"-",T253)</f>
        <v>05-Servicio de capacitaciones en gestión del riesgo de incendios  a la ciudadania.</v>
      </c>
      <c r="V253" s="51" t="s">
        <v>234</v>
      </c>
      <c r="W253" s="248" t="str">
        <f>IFERROR(VLOOKUP(V253,TD!$N$34:$O$46,2,0)," ")</f>
        <v>Servicio prevención y control de incendios</v>
      </c>
      <c r="X253" s="249" t="str">
        <f>CONCATENATE(V253,"_",W253)</f>
        <v>035_Servicio prevención y control de incendios</v>
      </c>
      <c r="Y253" s="249" t="str">
        <f>CONCATENATE(U253," ",X253)</f>
        <v>05-Servicio de capacitaciones en gestión del riesgo de incendios  a la ciudadania. 035_Servicio prevención y control de incendios</v>
      </c>
      <c r="Z253" s="248" t="str">
        <f>CONCATENATE(P253,Q253,R253,S253,V253)</f>
        <v>O23011745032024025505035</v>
      </c>
      <c r="AA253" s="248" t="str">
        <f>IFERROR(VLOOKUP(Y253,TD!$K$47:$L$65,2,0)," ")</f>
        <v>PM/0131/0105/45030350255</v>
      </c>
      <c r="AB253" s="53" t="s">
        <v>138</v>
      </c>
      <c r="AC253" s="250" t="s">
        <v>204</v>
      </c>
    </row>
    <row r="254" spans="2:29" s="28" customFormat="1" ht="70" x14ac:dyDescent="0.35">
      <c r="B254" s="77">
        <v>20250261</v>
      </c>
      <c r="C254" s="50" t="s">
        <v>209</v>
      </c>
      <c r="D254" s="246" t="s">
        <v>167</v>
      </c>
      <c r="E254" s="51" t="s">
        <v>505</v>
      </c>
      <c r="F254" s="246" t="s">
        <v>518</v>
      </c>
      <c r="G254" s="246" t="s">
        <v>155</v>
      </c>
      <c r="H254" s="93">
        <v>80111600</v>
      </c>
      <c r="I254" s="247">
        <v>1</v>
      </c>
      <c r="J254" s="253">
        <v>10</v>
      </c>
      <c r="K254" s="126">
        <v>0</v>
      </c>
      <c r="L254" s="125">
        <v>35000000</v>
      </c>
      <c r="M254" s="246" t="s">
        <v>464</v>
      </c>
      <c r="N254" s="53" t="s">
        <v>508</v>
      </c>
      <c r="O254" s="51" t="s">
        <v>221</v>
      </c>
      <c r="P254" s="248" t="str">
        <f>IFERROR(VLOOKUP(C254,TD!$B$33:$F$37,2,0)," ")</f>
        <v>O230117</v>
      </c>
      <c r="Q254" s="248" t="str">
        <f>IFERROR(VLOOKUP(C254,TD!$B$33:$F$37,3,0)," ")</f>
        <v>4503</v>
      </c>
      <c r="R254" s="248">
        <f>IFERROR(VLOOKUP(C254,TD!$B$33:$F$37,4,0)," ")</f>
        <v>20240255</v>
      </c>
      <c r="S254" s="51" t="s">
        <v>177</v>
      </c>
      <c r="T254" s="248" t="str">
        <f>IFERROR(VLOOKUP(S254,TD!$J$34:$K$44,2,0)," ")</f>
        <v>Servicio de capacitaciones en gestión del riesgo de incendios  a la ciudadania.</v>
      </c>
      <c r="U254" s="249" t="str">
        <f>CONCATENATE(S254,"-",T254)</f>
        <v>05-Servicio de capacitaciones en gestión del riesgo de incendios  a la ciudadania.</v>
      </c>
      <c r="V254" s="51" t="s">
        <v>234</v>
      </c>
      <c r="W254" s="248" t="str">
        <f>IFERROR(VLOOKUP(V254,TD!$N$34:$O$46,2,0)," ")</f>
        <v>Servicio prevención y control de incendios</v>
      </c>
      <c r="X254" s="249" t="str">
        <f>CONCATENATE(V254,"_",W254)</f>
        <v>035_Servicio prevención y control de incendios</v>
      </c>
      <c r="Y254" s="249" t="str">
        <f>CONCATENATE(U254," ",X254)</f>
        <v>05-Servicio de capacitaciones en gestión del riesgo de incendios  a la ciudadania. 035_Servicio prevención y control de incendios</v>
      </c>
      <c r="Z254" s="248" t="str">
        <f>CONCATENATE(P254,Q254,R254,S254,V254)</f>
        <v>O23011745032024025505035</v>
      </c>
      <c r="AA254" s="248" t="str">
        <f>IFERROR(VLOOKUP(Y254,TD!$K$47:$L$65,2,0)," ")</f>
        <v>PM/0131/0105/45030350255</v>
      </c>
      <c r="AB254" s="53" t="s">
        <v>138</v>
      </c>
      <c r="AC254" s="250" t="s">
        <v>204</v>
      </c>
    </row>
    <row r="255" spans="2:29" s="28" customFormat="1" ht="56" x14ac:dyDescent="0.35">
      <c r="B255" s="127">
        <v>20250262</v>
      </c>
      <c r="C255" s="129" t="s">
        <v>209</v>
      </c>
      <c r="D255" s="251" t="s">
        <v>167</v>
      </c>
      <c r="E255" s="252" t="s">
        <v>505</v>
      </c>
      <c r="F255" s="251" t="s">
        <v>518</v>
      </c>
      <c r="G255" s="251" t="s">
        <v>155</v>
      </c>
      <c r="H255" s="130">
        <v>80111600</v>
      </c>
      <c r="I255" s="253">
        <v>1</v>
      </c>
      <c r="J255" s="253">
        <v>10</v>
      </c>
      <c r="K255" s="126">
        <v>0</v>
      </c>
      <c r="L255" s="125">
        <f>55000000-5000000-15000000</f>
        <v>35000000</v>
      </c>
      <c r="M255" s="251" t="s">
        <v>464</v>
      </c>
      <c r="N255" s="125" t="s">
        <v>508</v>
      </c>
      <c r="O255" s="252" t="s">
        <v>221</v>
      </c>
      <c r="P255" s="254" t="str">
        <f>IFERROR(VLOOKUP(C255,TD!$B$33:$F$37,2,0)," ")</f>
        <v>O230117</v>
      </c>
      <c r="Q255" s="254" t="str">
        <f>IFERROR(VLOOKUP(C255,TD!$B$33:$F$37,3,0)," ")</f>
        <v>4503</v>
      </c>
      <c r="R255" s="254">
        <f>IFERROR(VLOOKUP(C255,TD!$B$33:$F$37,4,0)," ")</f>
        <v>20240255</v>
      </c>
      <c r="S255" s="252" t="s">
        <v>177</v>
      </c>
      <c r="T255" s="254" t="str">
        <f>IFERROR(VLOOKUP(S255,TD!$J$34:$K$44,2,0)," ")</f>
        <v>Servicio de capacitaciones en gestión del riesgo de incendios  a la ciudadania.</v>
      </c>
      <c r="U255" s="249" t="str">
        <f>CONCATENATE(S255,"-",T255)</f>
        <v>05-Servicio de capacitaciones en gestión del riesgo de incendios  a la ciudadania.</v>
      </c>
      <c r="V255" s="252" t="s">
        <v>234</v>
      </c>
      <c r="W255" s="254" t="str">
        <f>IFERROR(VLOOKUP(V255,TD!$N$34:$O$46,2,0)," ")</f>
        <v>Servicio prevención y control de incendios</v>
      </c>
      <c r="X255" s="249" t="str">
        <f>CONCATENATE(V255,"_",W255)</f>
        <v>035_Servicio prevención y control de incendios</v>
      </c>
      <c r="Y255" s="249" t="str">
        <f>CONCATENATE(U255," ",X255)</f>
        <v>05-Servicio de capacitaciones en gestión del riesgo de incendios  a la ciudadania. 035_Servicio prevención y control de incendios</v>
      </c>
      <c r="Z255" s="254" t="str">
        <f>CONCATENATE(P255,Q255,R255,S255,V255)</f>
        <v>O23011745032024025505035</v>
      </c>
      <c r="AA255" s="254" t="str">
        <f>IFERROR(VLOOKUP(Y255,TD!$K$47:$L$65,2,0)," ")</f>
        <v>PM/0131/0105/45030350255</v>
      </c>
      <c r="AB255" s="125" t="s">
        <v>138</v>
      </c>
      <c r="AC255" s="255" t="s">
        <v>204</v>
      </c>
    </row>
    <row r="256" spans="2:29" s="28" customFormat="1" ht="56" x14ac:dyDescent="0.35">
      <c r="B256" s="77">
        <v>20250263</v>
      </c>
      <c r="C256" s="50" t="s">
        <v>209</v>
      </c>
      <c r="D256" s="246" t="s">
        <v>167</v>
      </c>
      <c r="E256" s="51" t="s">
        <v>505</v>
      </c>
      <c r="F256" s="246" t="s">
        <v>519</v>
      </c>
      <c r="G256" s="246" t="s">
        <v>156</v>
      </c>
      <c r="H256" s="93">
        <v>80111600</v>
      </c>
      <c r="I256" s="247">
        <v>1</v>
      </c>
      <c r="J256" s="253">
        <v>10</v>
      </c>
      <c r="K256" s="126">
        <v>0</v>
      </c>
      <c r="L256" s="125">
        <v>24500000</v>
      </c>
      <c r="M256" s="246" t="s">
        <v>464</v>
      </c>
      <c r="N256" s="53" t="s">
        <v>508</v>
      </c>
      <c r="O256" s="51" t="s">
        <v>221</v>
      </c>
      <c r="P256" s="248" t="str">
        <f>IFERROR(VLOOKUP(C256,TD!$B$33:$F$37,2,0)," ")</f>
        <v>O230117</v>
      </c>
      <c r="Q256" s="248" t="str">
        <f>IFERROR(VLOOKUP(C256,TD!$B$33:$F$37,3,0)," ")</f>
        <v>4503</v>
      </c>
      <c r="R256" s="248">
        <f>IFERROR(VLOOKUP(C256,TD!$B$33:$F$37,4,0)," ")</f>
        <v>20240255</v>
      </c>
      <c r="S256" s="51" t="s">
        <v>177</v>
      </c>
      <c r="T256" s="248" t="str">
        <f>IFERROR(VLOOKUP(S256,TD!$J$34:$K$44,2,0)," ")</f>
        <v>Servicio de capacitaciones en gestión del riesgo de incendios  a la ciudadania.</v>
      </c>
      <c r="U256" s="249" t="str">
        <f>CONCATENATE(S256,"-",T256)</f>
        <v>05-Servicio de capacitaciones en gestión del riesgo de incendios  a la ciudadania.</v>
      </c>
      <c r="V256" s="51" t="s">
        <v>234</v>
      </c>
      <c r="W256" s="248" t="str">
        <f>IFERROR(VLOOKUP(V256,TD!$N$34:$O$46,2,0)," ")</f>
        <v>Servicio prevención y control de incendios</v>
      </c>
      <c r="X256" s="249" t="str">
        <f>CONCATENATE(V256,"_",W256)</f>
        <v>035_Servicio prevención y control de incendios</v>
      </c>
      <c r="Y256" s="249" t="str">
        <f>CONCATENATE(U256," ",X256)</f>
        <v>05-Servicio de capacitaciones en gestión del riesgo de incendios  a la ciudadania. 035_Servicio prevención y control de incendios</v>
      </c>
      <c r="Z256" s="248" t="str">
        <f>CONCATENATE(P256,Q256,R256,S256,V256)</f>
        <v>O23011745032024025505035</v>
      </c>
      <c r="AA256" s="248" t="str">
        <f>IFERROR(VLOOKUP(Y256,TD!$K$47:$L$65,2,0)," ")</f>
        <v>PM/0131/0105/45030350255</v>
      </c>
      <c r="AB256" s="53" t="s">
        <v>138</v>
      </c>
      <c r="AC256" s="250" t="s">
        <v>204</v>
      </c>
    </row>
    <row r="257" spans="2:29" s="28" customFormat="1" ht="56" x14ac:dyDescent="0.35">
      <c r="B257" s="77">
        <v>20250264</v>
      </c>
      <c r="C257" s="50" t="s">
        <v>209</v>
      </c>
      <c r="D257" s="246" t="s">
        <v>167</v>
      </c>
      <c r="E257" s="51" t="s">
        <v>505</v>
      </c>
      <c r="F257" s="246" t="s">
        <v>519</v>
      </c>
      <c r="G257" s="246" t="s">
        <v>156</v>
      </c>
      <c r="H257" s="93">
        <v>80111600</v>
      </c>
      <c r="I257" s="247">
        <v>1</v>
      </c>
      <c r="J257" s="253">
        <v>10</v>
      </c>
      <c r="K257" s="126">
        <v>0</v>
      </c>
      <c r="L257" s="125">
        <v>33750000</v>
      </c>
      <c r="M257" s="246" t="s">
        <v>464</v>
      </c>
      <c r="N257" s="53" t="s">
        <v>508</v>
      </c>
      <c r="O257" s="51" t="s">
        <v>221</v>
      </c>
      <c r="P257" s="248" t="str">
        <f>IFERROR(VLOOKUP(C257,TD!$B$33:$F$37,2,0)," ")</f>
        <v>O230117</v>
      </c>
      <c r="Q257" s="248" t="str">
        <f>IFERROR(VLOOKUP(C257,TD!$B$33:$F$37,3,0)," ")</f>
        <v>4503</v>
      </c>
      <c r="R257" s="248">
        <f>IFERROR(VLOOKUP(C257,TD!$B$33:$F$37,4,0)," ")</f>
        <v>20240255</v>
      </c>
      <c r="S257" s="51" t="s">
        <v>177</v>
      </c>
      <c r="T257" s="248" t="str">
        <f>IFERROR(VLOOKUP(S257,TD!$J$34:$K$44,2,0)," ")</f>
        <v>Servicio de capacitaciones en gestión del riesgo de incendios  a la ciudadania.</v>
      </c>
      <c r="U257" s="249" t="str">
        <f>CONCATENATE(S257,"-",T257)</f>
        <v>05-Servicio de capacitaciones en gestión del riesgo de incendios  a la ciudadania.</v>
      </c>
      <c r="V257" s="51" t="s">
        <v>234</v>
      </c>
      <c r="W257" s="248" t="str">
        <f>IFERROR(VLOOKUP(V257,TD!$N$34:$O$46,2,0)," ")</f>
        <v>Servicio prevención y control de incendios</v>
      </c>
      <c r="X257" s="249" t="str">
        <f>CONCATENATE(V257,"_",W257)</f>
        <v>035_Servicio prevención y control de incendios</v>
      </c>
      <c r="Y257" s="249" t="str">
        <f>CONCATENATE(U257," ",X257)</f>
        <v>05-Servicio de capacitaciones en gestión del riesgo de incendios  a la ciudadania. 035_Servicio prevención y control de incendios</v>
      </c>
      <c r="Z257" s="248" t="str">
        <f>CONCATENATE(P257,Q257,R257,S257,V257)</f>
        <v>O23011745032024025505035</v>
      </c>
      <c r="AA257" s="248" t="str">
        <f>IFERROR(VLOOKUP(Y257,TD!$K$47:$L$65,2,0)," ")</f>
        <v>PM/0131/0105/45030350255</v>
      </c>
      <c r="AB257" s="53" t="s">
        <v>138</v>
      </c>
      <c r="AC257" s="250" t="s">
        <v>204</v>
      </c>
    </row>
    <row r="258" spans="2:29" s="28" customFormat="1" ht="56" x14ac:dyDescent="0.35">
      <c r="B258" s="77">
        <v>20250265</v>
      </c>
      <c r="C258" s="50" t="s">
        <v>209</v>
      </c>
      <c r="D258" s="246" t="s">
        <v>167</v>
      </c>
      <c r="E258" s="51" t="s">
        <v>505</v>
      </c>
      <c r="F258" s="246" t="s">
        <v>519</v>
      </c>
      <c r="G258" s="246" t="s">
        <v>156</v>
      </c>
      <c r="H258" s="93">
        <v>80111600</v>
      </c>
      <c r="I258" s="247">
        <v>1</v>
      </c>
      <c r="J258" s="253">
        <v>10</v>
      </c>
      <c r="K258" s="126">
        <v>0</v>
      </c>
      <c r="L258" s="125">
        <v>8400000</v>
      </c>
      <c r="M258" s="246" t="s">
        <v>464</v>
      </c>
      <c r="N258" s="53" t="s">
        <v>508</v>
      </c>
      <c r="O258" s="51" t="s">
        <v>221</v>
      </c>
      <c r="P258" s="248" t="str">
        <f>IFERROR(VLOOKUP(C258,TD!$B$33:$F$37,2,0)," ")</f>
        <v>O230117</v>
      </c>
      <c r="Q258" s="248" t="str">
        <f>IFERROR(VLOOKUP(C258,TD!$B$33:$F$37,3,0)," ")</f>
        <v>4503</v>
      </c>
      <c r="R258" s="248">
        <f>IFERROR(VLOOKUP(C258,TD!$B$33:$F$37,4,0)," ")</f>
        <v>20240255</v>
      </c>
      <c r="S258" s="51" t="s">
        <v>177</v>
      </c>
      <c r="T258" s="248" t="str">
        <f>IFERROR(VLOOKUP(S258,TD!$J$34:$K$44,2,0)," ")</f>
        <v>Servicio de capacitaciones en gestión del riesgo de incendios  a la ciudadania.</v>
      </c>
      <c r="U258" s="249" t="str">
        <f>CONCATENATE(S258,"-",T258)</f>
        <v>05-Servicio de capacitaciones en gestión del riesgo de incendios  a la ciudadania.</v>
      </c>
      <c r="V258" s="51" t="s">
        <v>234</v>
      </c>
      <c r="W258" s="248" t="str">
        <f>IFERROR(VLOOKUP(V258,TD!$N$34:$O$46,2,0)," ")</f>
        <v>Servicio prevención y control de incendios</v>
      </c>
      <c r="X258" s="249" t="str">
        <f>CONCATENATE(V258,"_",W258)</f>
        <v>035_Servicio prevención y control de incendios</v>
      </c>
      <c r="Y258" s="249" t="str">
        <f>CONCATENATE(U258," ",X258)</f>
        <v>05-Servicio de capacitaciones en gestión del riesgo de incendios  a la ciudadania. 035_Servicio prevención y control de incendios</v>
      </c>
      <c r="Z258" s="248" t="str">
        <f>CONCATENATE(P258,Q258,R258,S258,V258)</f>
        <v>O23011745032024025505035</v>
      </c>
      <c r="AA258" s="248" t="str">
        <f>IFERROR(VLOOKUP(Y258,TD!$K$47:$L$65,2,0)," ")</f>
        <v>PM/0131/0105/45030350255</v>
      </c>
      <c r="AB258" s="53" t="s">
        <v>138</v>
      </c>
      <c r="AC258" s="250" t="s">
        <v>204</v>
      </c>
    </row>
    <row r="259" spans="2:29" s="28" customFormat="1" ht="56" x14ac:dyDescent="0.35">
      <c r="B259" s="77">
        <v>20250266</v>
      </c>
      <c r="C259" s="50" t="s">
        <v>209</v>
      </c>
      <c r="D259" s="246" t="s">
        <v>167</v>
      </c>
      <c r="E259" s="51" t="s">
        <v>505</v>
      </c>
      <c r="F259" s="246" t="s">
        <v>369</v>
      </c>
      <c r="G259" s="246" t="s">
        <v>133</v>
      </c>
      <c r="H259" s="93" t="s">
        <v>375</v>
      </c>
      <c r="I259" s="247">
        <v>1</v>
      </c>
      <c r="J259" s="253">
        <v>10</v>
      </c>
      <c r="K259" s="126">
        <v>0</v>
      </c>
      <c r="L259" s="125">
        <f>500000000+356000000-210000000-6000000</f>
        <v>640000000</v>
      </c>
      <c r="M259" s="246" t="s">
        <v>464</v>
      </c>
      <c r="N259" s="53" t="s">
        <v>90</v>
      </c>
      <c r="O259" s="51" t="s">
        <v>221</v>
      </c>
      <c r="P259" s="248" t="str">
        <f>IFERROR(VLOOKUP(C259,TD!$B$33:$F$37,2,0)," ")</f>
        <v>O230117</v>
      </c>
      <c r="Q259" s="248" t="str">
        <f>IFERROR(VLOOKUP(C259,TD!$B$33:$F$37,3,0)," ")</f>
        <v>4503</v>
      </c>
      <c r="R259" s="248">
        <f>IFERROR(VLOOKUP(C259,TD!$B$33:$F$37,4,0)," ")</f>
        <v>20240255</v>
      </c>
      <c r="S259" s="51" t="s">
        <v>177</v>
      </c>
      <c r="T259" s="248" t="str">
        <f>IFERROR(VLOOKUP(S259,TD!$J$34:$K$44,2,0)," ")</f>
        <v>Servicio de capacitaciones en gestión del riesgo de incendios  a la ciudadania.</v>
      </c>
      <c r="U259" s="249" t="str">
        <f>CONCATENATE(S259,"-",T259)</f>
        <v>05-Servicio de capacitaciones en gestión del riesgo de incendios  a la ciudadania.</v>
      </c>
      <c r="V259" s="51" t="s">
        <v>233</v>
      </c>
      <c r="W259" s="248" t="str">
        <f>IFERROR(VLOOKUP(V259,TD!$N$34:$O$46,2,0)," ")</f>
        <v>Servicio de educación informal</v>
      </c>
      <c r="X259" s="249" t="str">
        <f>CONCATENATE(V259,"_",W259)</f>
        <v>002_Servicio de educación informal</v>
      </c>
      <c r="Y259" s="249" t="str">
        <f>CONCATENATE(U259," ",X259)</f>
        <v>05-Servicio de capacitaciones en gestión del riesgo de incendios  a la ciudadania. 002_Servicio de educación informal</v>
      </c>
      <c r="Z259" s="248" t="str">
        <f>CONCATENATE(P259,Q259,R259,S259,V259)</f>
        <v>O23011745032024025505002</v>
      </c>
      <c r="AA259" s="248" t="str">
        <f>IFERROR(VLOOKUP(Y259,TD!$K$47:$L$65,2,0)," ")</f>
        <v>PM/0131/0105/45030020255</v>
      </c>
      <c r="AB259" s="53" t="s">
        <v>138</v>
      </c>
      <c r="AC259" s="250" t="s">
        <v>204</v>
      </c>
    </row>
    <row r="260" spans="2:29" s="28" customFormat="1" ht="56" x14ac:dyDescent="0.35">
      <c r="B260" s="127">
        <v>20250267</v>
      </c>
      <c r="C260" s="129" t="s">
        <v>209</v>
      </c>
      <c r="D260" s="251" t="s">
        <v>167</v>
      </c>
      <c r="E260" s="252" t="s">
        <v>505</v>
      </c>
      <c r="F260" s="251" t="s">
        <v>520</v>
      </c>
      <c r="G260" s="251" t="s">
        <v>133</v>
      </c>
      <c r="H260" s="130" t="s">
        <v>521</v>
      </c>
      <c r="I260" s="253">
        <v>9</v>
      </c>
      <c r="J260" s="253">
        <v>5</v>
      </c>
      <c r="K260" s="126">
        <v>0</v>
      </c>
      <c r="L260" s="125">
        <f>107000000+10000000+120000000+170000000-190000000+6000000</f>
        <v>223000000</v>
      </c>
      <c r="M260" s="251" t="s">
        <v>464</v>
      </c>
      <c r="N260" s="125" t="s">
        <v>90</v>
      </c>
      <c r="O260" s="252" t="s">
        <v>221</v>
      </c>
      <c r="P260" s="254" t="str">
        <f>IFERROR(VLOOKUP(C260,TD!$B$33:$F$37,2,0)," ")</f>
        <v>O230117</v>
      </c>
      <c r="Q260" s="254" t="str">
        <f>IFERROR(VLOOKUP(C260,TD!$B$33:$F$37,3,0)," ")</f>
        <v>4503</v>
      </c>
      <c r="R260" s="254">
        <f>IFERROR(VLOOKUP(C260,TD!$B$33:$F$37,4,0)," ")</f>
        <v>20240255</v>
      </c>
      <c r="S260" s="51" t="s">
        <v>177</v>
      </c>
      <c r="T260" s="254" t="str">
        <f>IFERROR(VLOOKUP(S260,TD!$J$34:$K$44,2,0)," ")</f>
        <v>Servicio de capacitaciones en gestión del riesgo de incendios  a la ciudadania.</v>
      </c>
      <c r="U260" s="249" t="str">
        <f>CONCATENATE(S260,"-",T260)</f>
        <v>05-Servicio de capacitaciones en gestión del riesgo de incendios  a la ciudadania.</v>
      </c>
      <c r="V260" s="252" t="s">
        <v>234</v>
      </c>
      <c r="W260" s="254" t="str">
        <f>IFERROR(VLOOKUP(V260,TD!$N$34:$O$46,2,0)," ")</f>
        <v>Servicio prevención y control de incendios</v>
      </c>
      <c r="X260" s="249" t="str">
        <f>CONCATENATE(V260,"_",W260)</f>
        <v>035_Servicio prevención y control de incendios</v>
      </c>
      <c r="Y260" s="249" t="str">
        <f>CONCATENATE(U260," ",X260)</f>
        <v>05-Servicio de capacitaciones en gestión del riesgo de incendios  a la ciudadania. 035_Servicio prevención y control de incendios</v>
      </c>
      <c r="Z260" s="254" t="str">
        <f>CONCATENATE(P260,Q260,R260,S260,V260)</f>
        <v>O23011745032024025505035</v>
      </c>
      <c r="AA260" s="254" t="str">
        <f>IFERROR(VLOOKUP(Y260,TD!$K$47:$L$65,2,0)," ")</f>
        <v>PM/0131/0105/45030350255</v>
      </c>
      <c r="AB260" s="53" t="s">
        <v>138</v>
      </c>
      <c r="AC260" s="255" t="s">
        <v>204</v>
      </c>
    </row>
    <row r="261" spans="2:29" s="28" customFormat="1" ht="56" x14ac:dyDescent="0.35">
      <c r="B261" s="127">
        <v>20250268</v>
      </c>
      <c r="C261" s="129" t="s">
        <v>209</v>
      </c>
      <c r="D261" s="251" t="s">
        <v>167</v>
      </c>
      <c r="E261" s="252" t="s">
        <v>505</v>
      </c>
      <c r="F261" s="251" t="s">
        <v>890</v>
      </c>
      <c r="G261" s="251" t="s">
        <v>119</v>
      </c>
      <c r="H261" s="130" t="s">
        <v>909</v>
      </c>
      <c r="I261" s="253">
        <v>6</v>
      </c>
      <c r="J261" s="253">
        <v>2</v>
      </c>
      <c r="K261" s="126">
        <v>0</v>
      </c>
      <c r="L261" s="125">
        <v>17430000</v>
      </c>
      <c r="M261" s="251" t="s">
        <v>464</v>
      </c>
      <c r="N261" s="125" t="s">
        <v>100</v>
      </c>
      <c r="O261" s="252" t="s">
        <v>221</v>
      </c>
      <c r="P261" s="254" t="str">
        <f>IFERROR(VLOOKUP(C261,TD!$B$33:$F$37,2,0)," ")</f>
        <v>O230117</v>
      </c>
      <c r="Q261" s="254" t="str">
        <f>IFERROR(VLOOKUP(C261,TD!$B$33:$F$37,3,0)," ")</f>
        <v>4503</v>
      </c>
      <c r="R261" s="254">
        <f>IFERROR(VLOOKUP(C261,TD!$B$33:$F$37,4,0)," ")</f>
        <v>20240255</v>
      </c>
      <c r="S261" s="51" t="s">
        <v>177</v>
      </c>
      <c r="T261" s="254" t="str">
        <f>IFERROR(VLOOKUP(S261,TD!$J$34:$K$44,2,0)," ")</f>
        <v>Servicio de capacitaciones en gestión del riesgo de incendios  a la ciudadania.</v>
      </c>
      <c r="U261" s="249" t="str">
        <f>CONCATENATE(S261,"-",T261)</f>
        <v>05-Servicio de capacitaciones en gestión del riesgo de incendios  a la ciudadania.</v>
      </c>
      <c r="V261" s="252" t="s">
        <v>233</v>
      </c>
      <c r="W261" s="254" t="str">
        <f>IFERROR(VLOOKUP(V261,TD!$N$34:$O$46,2,0)," ")</f>
        <v>Servicio de educación informal</v>
      </c>
      <c r="X261" s="249" t="str">
        <f>CONCATENATE(V261,"_",W261)</f>
        <v>002_Servicio de educación informal</v>
      </c>
      <c r="Y261" s="249" t="str">
        <f>CONCATENATE(U261," ",X261)</f>
        <v>05-Servicio de capacitaciones en gestión del riesgo de incendios  a la ciudadania. 002_Servicio de educación informal</v>
      </c>
      <c r="Z261" s="254" t="str">
        <f>CONCATENATE(P261,Q261,R261,S261,V261)</f>
        <v>O23011745032024025505002</v>
      </c>
      <c r="AA261" s="254" t="str">
        <f>IFERROR(VLOOKUP(Y261,TD!$K$47:$L$65,2,0)," ")</f>
        <v>PM/0131/0105/45030020255</v>
      </c>
      <c r="AB261" s="53" t="s">
        <v>138</v>
      </c>
      <c r="AC261" s="255" t="s">
        <v>204</v>
      </c>
    </row>
    <row r="262" spans="2:29" s="28" customFormat="1" ht="56" x14ac:dyDescent="0.35">
      <c r="B262" s="77">
        <v>20250269</v>
      </c>
      <c r="C262" s="50" t="s">
        <v>209</v>
      </c>
      <c r="D262" s="246" t="s">
        <v>167</v>
      </c>
      <c r="E262" s="51" t="s">
        <v>505</v>
      </c>
      <c r="F262" s="246" t="s">
        <v>376</v>
      </c>
      <c r="G262" s="246" t="s">
        <v>155</v>
      </c>
      <c r="H262" s="93">
        <v>80111600</v>
      </c>
      <c r="I262" s="247">
        <v>1</v>
      </c>
      <c r="J262" s="253">
        <v>10</v>
      </c>
      <c r="K262" s="126">
        <v>0</v>
      </c>
      <c r="L262" s="125">
        <v>49000000</v>
      </c>
      <c r="M262" s="246" t="s">
        <v>464</v>
      </c>
      <c r="N262" s="53" t="s">
        <v>508</v>
      </c>
      <c r="O262" s="51" t="s">
        <v>221</v>
      </c>
      <c r="P262" s="248" t="str">
        <f>IFERROR(VLOOKUP(C262,TD!$B$33:$F$37,2,0)," ")</f>
        <v>O230117</v>
      </c>
      <c r="Q262" s="248" t="str">
        <f>IFERROR(VLOOKUP(C262,TD!$B$33:$F$37,3,0)," ")</f>
        <v>4503</v>
      </c>
      <c r="R262" s="248">
        <f>IFERROR(VLOOKUP(C262,TD!$B$33:$F$37,4,0)," ")</f>
        <v>20240255</v>
      </c>
      <c r="S262" s="51" t="s">
        <v>177</v>
      </c>
      <c r="T262" s="248" t="str">
        <f>IFERROR(VLOOKUP(S262,TD!$J$34:$K$44,2,0)," ")</f>
        <v>Servicio de capacitaciones en gestión del riesgo de incendios  a la ciudadania.</v>
      </c>
      <c r="U262" s="249" t="str">
        <f>CONCATENATE(S262,"-",T262)</f>
        <v>05-Servicio de capacitaciones en gestión del riesgo de incendios  a la ciudadania.</v>
      </c>
      <c r="V262" s="51" t="s">
        <v>233</v>
      </c>
      <c r="W262" s="248" t="str">
        <f>IFERROR(VLOOKUP(V262,TD!$N$34:$O$46,2,0)," ")</f>
        <v>Servicio de educación informal</v>
      </c>
      <c r="X262" s="249" t="str">
        <f>CONCATENATE(V262,"_",W262)</f>
        <v>002_Servicio de educación informal</v>
      </c>
      <c r="Y262" s="249" t="str">
        <f>CONCATENATE(U262," ",X262)</f>
        <v>05-Servicio de capacitaciones en gestión del riesgo de incendios  a la ciudadania. 002_Servicio de educación informal</v>
      </c>
      <c r="Z262" s="248" t="str">
        <f>CONCATENATE(P262,Q262,R262,S262,V262)</f>
        <v>O23011745032024025505002</v>
      </c>
      <c r="AA262" s="248" t="str">
        <f>IFERROR(VLOOKUP(Y262,TD!$K$47:$L$65,2,0)," ")</f>
        <v>PM/0131/0105/45030020255</v>
      </c>
      <c r="AB262" s="53" t="s">
        <v>138</v>
      </c>
      <c r="AC262" s="250" t="s">
        <v>204</v>
      </c>
    </row>
    <row r="263" spans="2:29" s="28" customFormat="1" ht="56" x14ac:dyDescent="0.35">
      <c r="B263" s="127">
        <v>20250270</v>
      </c>
      <c r="C263" s="129" t="s">
        <v>209</v>
      </c>
      <c r="D263" s="251" t="s">
        <v>167</v>
      </c>
      <c r="E263" s="252" t="s">
        <v>505</v>
      </c>
      <c r="F263" s="251" t="s">
        <v>373</v>
      </c>
      <c r="G263" s="251" t="s">
        <v>155</v>
      </c>
      <c r="H263" s="130">
        <v>80111600</v>
      </c>
      <c r="I263" s="253">
        <v>1</v>
      </c>
      <c r="J263" s="253">
        <v>10</v>
      </c>
      <c r="K263" s="126">
        <v>0</v>
      </c>
      <c r="L263" s="125">
        <f>77000000-27000000-15000000</f>
        <v>35000000</v>
      </c>
      <c r="M263" s="251" t="s">
        <v>464</v>
      </c>
      <c r="N263" s="125" t="s">
        <v>508</v>
      </c>
      <c r="O263" s="252" t="s">
        <v>221</v>
      </c>
      <c r="P263" s="254" t="str">
        <f>IFERROR(VLOOKUP(C263,TD!$B$33:$F$37,2,0)," ")</f>
        <v>O230117</v>
      </c>
      <c r="Q263" s="254" t="str">
        <f>IFERROR(VLOOKUP(C263,TD!$B$33:$F$37,3,0)," ")</f>
        <v>4503</v>
      </c>
      <c r="R263" s="254">
        <f>IFERROR(VLOOKUP(C263,TD!$B$33:$F$37,4,0)," ")</f>
        <v>20240255</v>
      </c>
      <c r="S263" s="252" t="s">
        <v>181</v>
      </c>
      <c r="T263" s="254" t="str">
        <f>IFERROR(VLOOKUP(S263,TD!$J$34:$K$44,2,0)," ")</f>
        <v>Servicio de inspecciones técnicas realizadas</v>
      </c>
      <c r="U263" s="249" t="str">
        <f>CONCATENATE(S263,"-",T263)</f>
        <v>06-Servicio de inspecciones técnicas realizadas</v>
      </c>
      <c r="V263" s="252" t="s">
        <v>234</v>
      </c>
      <c r="W263" s="254" t="str">
        <f>IFERROR(VLOOKUP(V263,TD!$N$34:$O$46,2,0)," ")</f>
        <v>Servicio prevención y control de incendios</v>
      </c>
      <c r="X263" s="249" t="str">
        <f>CONCATENATE(V263,"_",W263)</f>
        <v>035_Servicio prevención y control de incendios</v>
      </c>
      <c r="Y263" s="249" t="str">
        <f>CONCATENATE(U263," ",X263)</f>
        <v>06-Servicio de inspecciones técnicas realizadas 035_Servicio prevención y control de incendios</v>
      </c>
      <c r="Z263" s="254" t="str">
        <f>CONCATENATE(P263,Q263,R263,S263,V263)</f>
        <v>O23011745032024025506035</v>
      </c>
      <c r="AA263" s="254" t="str">
        <f>IFERROR(VLOOKUP(Y263,TD!$K$47:$L$65,2,0)," ")</f>
        <v>PM/0131/0106/45030350255</v>
      </c>
      <c r="AB263" s="125" t="s">
        <v>138</v>
      </c>
      <c r="AC263" s="255" t="s">
        <v>204</v>
      </c>
    </row>
    <row r="264" spans="2:29" s="28" customFormat="1" ht="56" x14ac:dyDescent="0.35">
      <c r="B264" s="127">
        <v>20250271</v>
      </c>
      <c r="C264" s="129" t="s">
        <v>209</v>
      </c>
      <c r="D264" s="251" t="s">
        <v>167</v>
      </c>
      <c r="E264" s="252" t="s">
        <v>505</v>
      </c>
      <c r="F264" s="251" t="s">
        <v>730</v>
      </c>
      <c r="G264" s="251" t="s">
        <v>155</v>
      </c>
      <c r="H264" s="130">
        <v>80111600</v>
      </c>
      <c r="I264" s="253">
        <v>1</v>
      </c>
      <c r="J264" s="253">
        <v>10</v>
      </c>
      <c r="K264" s="126">
        <v>0</v>
      </c>
      <c r="L264" s="125">
        <f>77000000-27000000-15000000</f>
        <v>35000000</v>
      </c>
      <c r="M264" s="251" t="s">
        <v>464</v>
      </c>
      <c r="N264" s="125" t="s">
        <v>508</v>
      </c>
      <c r="O264" s="252" t="s">
        <v>221</v>
      </c>
      <c r="P264" s="254" t="str">
        <f>IFERROR(VLOOKUP(C264,TD!$B$33:$F$37,2,0)," ")</f>
        <v>O230117</v>
      </c>
      <c r="Q264" s="254" t="str">
        <f>IFERROR(VLOOKUP(C264,TD!$B$33:$F$37,3,0)," ")</f>
        <v>4503</v>
      </c>
      <c r="R264" s="254">
        <f>IFERROR(VLOOKUP(C264,TD!$B$33:$F$37,4,0)," ")</f>
        <v>20240255</v>
      </c>
      <c r="S264" s="252" t="s">
        <v>181</v>
      </c>
      <c r="T264" s="254" t="str">
        <f>IFERROR(VLOOKUP(S264,TD!$J$34:$K$44,2,0)," ")</f>
        <v>Servicio de inspecciones técnicas realizadas</v>
      </c>
      <c r="U264" s="249" t="str">
        <f>CONCATENATE(S264,"-",T264)</f>
        <v>06-Servicio de inspecciones técnicas realizadas</v>
      </c>
      <c r="V264" s="252" t="s">
        <v>234</v>
      </c>
      <c r="W264" s="254" t="str">
        <f>IFERROR(VLOOKUP(V264,TD!$N$34:$O$46,2,0)," ")</f>
        <v>Servicio prevención y control de incendios</v>
      </c>
      <c r="X264" s="249" t="str">
        <f>CONCATENATE(V264,"_",W264)</f>
        <v>035_Servicio prevención y control de incendios</v>
      </c>
      <c r="Y264" s="249" t="str">
        <f>CONCATENATE(U264," ",X264)</f>
        <v>06-Servicio de inspecciones técnicas realizadas 035_Servicio prevención y control de incendios</v>
      </c>
      <c r="Z264" s="254" t="str">
        <f>CONCATENATE(P264,Q264,R264,S264,V264)</f>
        <v>O23011745032024025506035</v>
      </c>
      <c r="AA264" s="254" t="str">
        <f>IFERROR(VLOOKUP(Y264,TD!$K$47:$L$65,2,0)," ")</f>
        <v>PM/0131/0106/45030350255</v>
      </c>
      <c r="AB264" s="125" t="s">
        <v>138</v>
      </c>
      <c r="AC264" s="255" t="s">
        <v>204</v>
      </c>
    </row>
    <row r="265" spans="2:29" s="28" customFormat="1" ht="56" x14ac:dyDescent="0.35">
      <c r="B265" s="77">
        <v>20250272</v>
      </c>
      <c r="C265" s="50" t="s">
        <v>209</v>
      </c>
      <c r="D265" s="246" t="s">
        <v>167</v>
      </c>
      <c r="E265" s="51" t="s">
        <v>505</v>
      </c>
      <c r="F265" s="246" t="s">
        <v>373</v>
      </c>
      <c r="G265" s="246" t="s">
        <v>155</v>
      </c>
      <c r="H265" s="93">
        <v>80111600</v>
      </c>
      <c r="I265" s="247">
        <v>1</v>
      </c>
      <c r="J265" s="253">
        <v>10</v>
      </c>
      <c r="K265" s="126">
        <v>0</v>
      </c>
      <c r="L265" s="125">
        <v>21000000</v>
      </c>
      <c r="M265" s="246" t="s">
        <v>464</v>
      </c>
      <c r="N265" s="53" t="s">
        <v>508</v>
      </c>
      <c r="O265" s="51" t="s">
        <v>221</v>
      </c>
      <c r="P265" s="248" t="str">
        <f>IFERROR(VLOOKUP(C265,TD!$B$33:$F$37,2,0)," ")</f>
        <v>O230117</v>
      </c>
      <c r="Q265" s="248" t="str">
        <f>IFERROR(VLOOKUP(C265,TD!$B$33:$F$37,3,0)," ")</f>
        <v>4503</v>
      </c>
      <c r="R265" s="248">
        <f>IFERROR(VLOOKUP(C265,TD!$B$33:$F$37,4,0)," ")</f>
        <v>20240255</v>
      </c>
      <c r="S265" s="51" t="s">
        <v>181</v>
      </c>
      <c r="T265" s="248" t="str">
        <f>IFERROR(VLOOKUP(S265,TD!$J$34:$K$44,2,0)," ")</f>
        <v>Servicio de inspecciones técnicas realizadas</v>
      </c>
      <c r="U265" s="249" t="str">
        <f>CONCATENATE(S265,"-",T265)</f>
        <v>06-Servicio de inspecciones técnicas realizadas</v>
      </c>
      <c r="V265" s="51" t="s">
        <v>234</v>
      </c>
      <c r="W265" s="248" t="str">
        <f>IFERROR(VLOOKUP(V265,TD!$N$34:$O$46,2,0)," ")</f>
        <v>Servicio prevención y control de incendios</v>
      </c>
      <c r="X265" s="249" t="str">
        <f>CONCATENATE(V265,"_",W265)</f>
        <v>035_Servicio prevención y control de incendios</v>
      </c>
      <c r="Y265" s="249" t="str">
        <f>CONCATENATE(U265," ",X265)</f>
        <v>06-Servicio de inspecciones técnicas realizadas 035_Servicio prevención y control de incendios</v>
      </c>
      <c r="Z265" s="248" t="str">
        <f>CONCATENATE(P265,Q265,R265,S265,V265)</f>
        <v>O23011745032024025506035</v>
      </c>
      <c r="AA265" s="248" t="str">
        <f>IFERROR(VLOOKUP(Y265,TD!$K$47:$L$65,2,0)," ")</f>
        <v>PM/0131/0106/45030350255</v>
      </c>
      <c r="AB265" s="53" t="s">
        <v>138</v>
      </c>
      <c r="AC265" s="250" t="s">
        <v>204</v>
      </c>
    </row>
    <row r="266" spans="2:29" s="28" customFormat="1" ht="56" x14ac:dyDescent="0.35">
      <c r="B266" s="77">
        <v>20250273</v>
      </c>
      <c r="C266" s="50" t="s">
        <v>209</v>
      </c>
      <c r="D266" s="246" t="s">
        <v>167</v>
      </c>
      <c r="E266" s="51" t="s">
        <v>505</v>
      </c>
      <c r="F266" s="246" t="s">
        <v>373</v>
      </c>
      <c r="G266" s="246" t="s">
        <v>155</v>
      </c>
      <c r="H266" s="93">
        <v>80111600</v>
      </c>
      <c r="I266" s="247">
        <v>1</v>
      </c>
      <c r="J266" s="253">
        <v>10</v>
      </c>
      <c r="K266" s="126">
        <v>0</v>
      </c>
      <c r="L266" s="125">
        <v>42000000</v>
      </c>
      <c r="M266" s="246" t="s">
        <v>464</v>
      </c>
      <c r="N266" s="53" t="s">
        <v>508</v>
      </c>
      <c r="O266" s="51" t="s">
        <v>221</v>
      </c>
      <c r="P266" s="248" t="str">
        <f>IFERROR(VLOOKUP(C266,TD!$B$33:$F$37,2,0)," ")</f>
        <v>O230117</v>
      </c>
      <c r="Q266" s="248" t="str">
        <f>IFERROR(VLOOKUP(C266,TD!$B$33:$F$37,3,0)," ")</f>
        <v>4503</v>
      </c>
      <c r="R266" s="248">
        <f>IFERROR(VLOOKUP(C266,TD!$B$33:$F$37,4,0)," ")</f>
        <v>20240255</v>
      </c>
      <c r="S266" s="51" t="s">
        <v>181</v>
      </c>
      <c r="T266" s="248" t="str">
        <f>IFERROR(VLOOKUP(S266,TD!$J$34:$K$44,2,0)," ")</f>
        <v>Servicio de inspecciones técnicas realizadas</v>
      </c>
      <c r="U266" s="249" t="str">
        <f>CONCATENATE(S266,"-",T266)</f>
        <v>06-Servicio de inspecciones técnicas realizadas</v>
      </c>
      <c r="V266" s="51" t="s">
        <v>234</v>
      </c>
      <c r="W266" s="248" t="str">
        <f>IFERROR(VLOOKUP(V266,TD!$N$34:$O$46,2,0)," ")</f>
        <v>Servicio prevención y control de incendios</v>
      </c>
      <c r="X266" s="249" t="str">
        <f>CONCATENATE(V266,"_",W266)</f>
        <v>035_Servicio prevención y control de incendios</v>
      </c>
      <c r="Y266" s="249" t="str">
        <f>CONCATENATE(U266," ",X266)</f>
        <v>06-Servicio de inspecciones técnicas realizadas 035_Servicio prevención y control de incendios</v>
      </c>
      <c r="Z266" s="248" t="str">
        <f>CONCATENATE(P266,Q266,R266,S266,V266)</f>
        <v>O23011745032024025506035</v>
      </c>
      <c r="AA266" s="248" t="str">
        <f>IFERROR(VLOOKUP(Y266,TD!$K$47:$L$65,2,0)," ")</f>
        <v>PM/0131/0106/45030350255</v>
      </c>
      <c r="AB266" s="53" t="s">
        <v>138</v>
      </c>
      <c r="AC266" s="250" t="s">
        <v>204</v>
      </c>
    </row>
    <row r="267" spans="2:29" s="28" customFormat="1" ht="56" x14ac:dyDescent="0.35">
      <c r="B267" s="77">
        <v>20250274</v>
      </c>
      <c r="C267" s="50" t="s">
        <v>209</v>
      </c>
      <c r="D267" s="246" t="s">
        <v>167</v>
      </c>
      <c r="E267" s="51" t="s">
        <v>505</v>
      </c>
      <c r="F267" s="246" t="s">
        <v>373</v>
      </c>
      <c r="G267" s="246" t="s">
        <v>155</v>
      </c>
      <c r="H267" s="93">
        <v>80111600</v>
      </c>
      <c r="I267" s="247">
        <v>1</v>
      </c>
      <c r="J267" s="253">
        <v>10</v>
      </c>
      <c r="K267" s="126">
        <v>0</v>
      </c>
      <c r="L267" s="125">
        <v>42000000</v>
      </c>
      <c r="M267" s="246" t="s">
        <v>464</v>
      </c>
      <c r="N267" s="53" t="s">
        <v>508</v>
      </c>
      <c r="O267" s="51" t="s">
        <v>221</v>
      </c>
      <c r="P267" s="248" t="str">
        <f>IFERROR(VLOOKUP(C267,TD!$B$33:$F$37,2,0)," ")</f>
        <v>O230117</v>
      </c>
      <c r="Q267" s="248" t="str">
        <f>IFERROR(VLOOKUP(C267,TD!$B$33:$F$37,3,0)," ")</f>
        <v>4503</v>
      </c>
      <c r="R267" s="248">
        <f>IFERROR(VLOOKUP(C267,TD!$B$33:$F$37,4,0)," ")</f>
        <v>20240255</v>
      </c>
      <c r="S267" s="51" t="s">
        <v>181</v>
      </c>
      <c r="T267" s="248" t="str">
        <f>IFERROR(VLOOKUP(S267,TD!$J$34:$K$44,2,0)," ")</f>
        <v>Servicio de inspecciones técnicas realizadas</v>
      </c>
      <c r="U267" s="249" t="str">
        <f>CONCATENATE(S267,"-",T267)</f>
        <v>06-Servicio de inspecciones técnicas realizadas</v>
      </c>
      <c r="V267" s="51" t="s">
        <v>234</v>
      </c>
      <c r="W267" s="248" t="str">
        <f>IFERROR(VLOOKUP(V267,TD!$N$34:$O$46,2,0)," ")</f>
        <v>Servicio prevención y control de incendios</v>
      </c>
      <c r="X267" s="249" t="str">
        <f>CONCATENATE(V267,"_",W267)</f>
        <v>035_Servicio prevención y control de incendios</v>
      </c>
      <c r="Y267" s="249" t="str">
        <f>CONCATENATE(U267," ",X267)</f>
        <v>06-Servicio de inspecciones técnicas realizadas 035_Servicio prevención y control de incendios</v>
      </c>
      <c r="Z267" s="248" t="str">
        <f>CONCATENATE(P267,Q267,R267,S267,V267)</f>
        <v>O23011745032024025506035</v>
      </c>
      <c r="AA267" s="248" t="str">
        <f>IFERROR(VLOOKUP(Y267,TD!$K$47:$L$65,2,0)," ")</f>
        <v>PM/0131/0106/45030350255</v>
      </c>
      <c r="AB267" s="53" t="s">
        <v>138</v>
      </c>
      <c r="AC267" s="250" t="s">
        <v>204</v>
      </c>
    </row>
    <row r="268" spans="2:29" s="28" customFormat="1" ht="56" x14ac:dyDescent="0.35">
      <c r="B268" s="77">
        <v>20250275</v>
      </c>
      <c r="C268" s="50" t="s">
        <v>209</v>
      </c>
      <c r="D268" s="246" t="s">
        <v>167</v>
      </c>
      <c r="E268" s="51" t="s">
        <v>505</v>
      </c>
      <c r="F268" s="246" t="s">
        <v>372</v>
      </c>
      <c r="G268" s="246" t="s">
        <v>156</v>
      </c>
      <c r="H268" s="93">
        <v>80111600</v>
      </c>
      <c r="I268" s="247">
        <v>1</v>
      </c>
      <c r="J268" s="253">
        <v>10</v>
      </c>
      <c r="K268" s="126">
        <v>0</v>
      </c>
      <c r="L268" s="125">
        <f>44000000-4000000</f>
        <v>40000000</v>
      </c>
      <c r="M268" s="246" t="s">
        <v>464</v>
      </c>
      <c r="N268" s="53" t="s">
        <v>508</v>
      </c>
      <c r="O268" s="51" t="s">
        <v>221</v>
      </c>
      <c r="P268" s="248" t="str">
        <f>IFERROR(VLOOKUP(C268,TD!$B$33:$F$37,2,0)," ")</f>
        <v>O230117</v>
      </c>
      <c r="Q268" s="248" t="str">
        <f>IFERROR(VLOOKUP(C268,TD!$B$33:$F$37,3,0)," ")</f>
        <v>4503</v>
      </c>
      <c r="R268" s="248">
        <f>IFERROR(VLOOKUP(C268,TD!$B$33:$F$37,4,0)," ")</f>
        <v>20240255</v>
      </c>
      <c r="S268" s="51" t="s">
        <v>181</v>
      </c>
      <c r="T268" s="248" t="str">
        <f>IFERROR(VLOOKUP(S268,TD!$J$34:$K$44,2,0)," ")</f>
        <v>Servicio de inspecciones técnicas realizadas</v>
      </c>
      <c r="U268" s="249" t="str">
        <f>CONCATENATE(S268,"-",T268)</f>
        <v>06-Servicio de inspecciones técnicas realizadas</v>
      </c>
      <c r="V268" s="51" t="s">
        <v>234</v>
      </c>
      <c r="W268" s="248" t="str">
        <f>IFERROR(VLOOKUP(V268,TD!$N$34:$O$46,2,0)," ")</f>
        <v>Servicio prevención y control de incendios</v>
      </c>
      <c r="X268" s="249" t="str">
        <f>CONCATENATE(V268,"_",W268)</f>
        <v>035_Servicio prevención y control de incendios</v>
      </c>
      <c r="Y268" s="249" t="str">
        <f>CONCATENATE(U268," ",X268)</f>
        <v>06-Servicio de inspecciones técnicas realizadas 035_Servicio prevención y control de incendios</v>
      </c>
      <c r="Z268" s="248" t="str">
        <f>CONCATENATE(P268,Q268,R268,S268,V268)</f>
        <v>O23011745032024025506035</v>
      </c>
      <c r="AA268" s="248" t="str">
        <f>IFERROR(VLOOKUP(Y268,TD!$K$47:$L$65,2,0)," ")</f>
        <v>PM/0131/0106/45030350255</v>
      </c>
      <c r="AB268" s="53" t="s">
        <v>138</v>
      </c>
      <c r="AC268" s="250" t="s">
        <v>204</v>
      </c>
    </row>
    <row r="269" spans="2:29" s="28" customFormat="1" ht="56" x14ac:dyDescent="0.35">
      <c r="B269" s="77">
        <v>20250276</v>
      </c>
      <c r="C269" s="50" t="s">
        <v>209</v>
      </c>
      <c r="D269" s="246" t="s">
        <v>167</v>
      </c>
      <c r="E269" s="51" t="s">
        <v>505</v>
      </c>
      <c r="F269" s="246" t="s">
        <v>372</v>
      </c>
      <c r="G269" s="246" t="s">
        <v>156</v>
      </c>
      <c r="H269" s="93">
        <v>80111600</v>
      </c>
      <c r="I269" s="247">
        <v>1</v>
      </c>
      <c r="J269" s="253">
        <v>10</v>
      </c>
      <c r="K269" s="126">
        <v>0</v>
      </c>
      <c r="L269" s="125">
        <f>44000000-4000000</f>
        <v>40000000</v>
      </c>
      <c r="M269" s="246" t="s">
        <v>464</v>
      </c>
      <c r="N269" s="53" t="s">
        <v>508</v>
      </c>
      <c r="O269" s="51" t="s">
        <v>221</v>
      </c>
      <c r="P269" s="248" t="str">
        <f>IFERROR(VLOOKUP(C269,TD!$B$33:$F$37,2,0)," ")</f>
        <v>O230117</v>
      </c>
      <c r="Q269" s="248" t="str">
        <f>IFERROR(VLOOKUP(C269,TD!$B$33:$F$37,3,0)," ")</f>
        <v>4503</v>
      </c>
      <c r="R269" s="248">
        <f>IFERROR(VLOOKUP(C269,TD!$B$33:$F$37,4,0)," ")</f>
        <v>20240255</v>
      </c>
      <c r="S269" s="51" t="s">
        <v>181</v>
      </c>
      <c r="T269" s="248" t="str">
        <f>IFERROR(VLOOKUP(S269,TD!$J$34:$K$44,2,0)," ")</f>
        <v>Servicio de inspecciones técnicas realizadas</v>
      </c>
      <c r="U269" s="249" t="str">
        <f>CONCATENATE(S269,"-",T269)</f>
        <v>06-Servicio de inspecciones técnicas realizadas</v>
      </c>
      <c r="V269" s="51" t="s">
        <v>234</v>
      </c>
      <c r="W269" s="248" t="str">
        <f>IFERROR(VLOOKUP(V269,TD!$N$34:$O$46,2,0)," ")</f>
        <v>Servicio prevención y control de incendios</v>
      </c>
      <c r="X269" s="249" t="str">
        <f>CONCATENATE(V269,"_",W269)</f>
        <v>035_Servicio prevención y control de incendios</v>
      </c>
      <c r="Y269" s="249" t="str">
        <f>CONCATENATE(U269," ",X269)</f>
        <v>06-Servicio de inspecciones técnicas realizadas 035_Servicio prevención y control de incendios</v>
      </c>
      <c r="Z269" s="248" t="str">
        <f>CONCATENATE(P269,Q269,R269,S269,V269)</f>
        <v>O23011745032024025506035</v>
      </c>
      <c r="AA269" s="248" t="str">
        <f>IFERROR(VLOOKUP(Y269,TD!$K$47:$L$65,2,0)," ")</f>
        <v>PM/0131/0106/45030350255</v>
      </c>
      <c r="AB269" s="53" t="s">
        <v>138</v>
      </c>
      <c r="AC269" s="250" t="s">
        <v>204</v>
      </c>
    </row>
    <row r="270" spans="2:29" s="28" customFormat="1" ht="56" x14ac:dyDescent="0.35">
      <c r="B270" s="77">
        <v>20250277</v>
      </c>
      <c r="C270" s="50" t="s">
        <v>209</v>
      </c>
      <c r="D270" s="246" t="s">
        <v>167</v>
      </c>
      <c r="E270" s="51" t="s">
        <v>505</v>
      </c>
      <c r="F270" s="246" t="s">
        <v>372</v>
      </c>
      <c r="G270" s="246" t="s">
        <v>156</v>
      </c>
      <c r="H270" s="93">
        <v>80111600</v>
      </c>
      <c r="I270" s="247">
        <v>1</v>
      </c>
      <c r="J270" s="253">
        <v>10</v>
      </c>
      <c r="K270" s="126">
        <v>0</v>
      </c>
      <c r="L270" s="125">
        <f>44000000-4000000</f>
        <v>40000000</v>
      </c>
      <c r="M270" s="246" t="s">
        <v>464</v>
      </c>
      <c r="N270" s="53" t="s">
        <v>508</v>
      </c>
      <c r="O270" s="51" t="s">
        <v>221</v>
      </c>
      <c r="P270" s="248" t="str">
        <f>IFERROR(VLOOKUP(C270,TD!$B$33:$F$37,2,0)," ")</f>
        <v>O230117</v>
      </c>
      <c r="Q270" s="248" t="str">
        <f>IFERROR(VLOOKUP(C270,TD!$B$33:$F$37,3,0)," ")</f>
        <v>4503</v>
      </c>
      <c r="R270" s="248">
        <f>IFERROR(VLOOKUP(C270,TD!$B$33:$F$37,4,0)," ")</f>
        <v>20240255</v>
      </c>
      <c r="S270" s="51" t="s">
        <v>181</v>
      </c>
      <c r="T270" s="248" t="str">
        <f>IFERROR(VLOOKUP(S270,TD!$J$34:$K$44,2,0)," ")</f>
        <v>Servicio de inspecciones técnicas realizadas</v>
      </c>
      <c r="U270" s="249" t="str">
        <f>CONCATENATE(S270,"-",T270)</f>
        <v>06-Servicio de inspecciones técnicas realizadas</v>
      </c>
      <c r="V270" s="51" t="s">
        <v>234</v>
      </c>
      <c r="W270" s="248" t="str">
        <f>IFERROR(VLOOKUP(V270,TD!$N$34:$O$46,2,0)," ")</f>
        <v>Servicio prevención y control de incendios</v>
      </c>
      <c r="X270" s="249" t="str">
        <f>CONCATENATE(V270,"_",W270)</f>
        <v>035_Servicio prevención y control de incendios</v>
      </c>
      <c r="Y270" s="249" t="str">
        <f>CONCATENATE(U270," ",X270)</f>
        <v>06-Servicio de inspecciones técnicas realizadas 035_Servicio prevención y control de incendios</v>
      </c>
      <c r="Z270" s="248" t="str">
        <f>CONCATENATE(P270,Q270,R270,S270,V270)</f>
        <v>O23011745032024025506035</v>
      </c>
      <c r="AA270" s="248" t="str">
        <f>IFERROR(VLOOKUP(Y270,TD!$K$47:$L$65,2,0)," ")</f>
        <v>PM/0131/0106/45030350255</v>
      </c>
      <c r="AB270" s="53" t="s">
        <v>138</v>
      </c>
      <c r="AC270" s="250" t="s">
        <v>204</v>
      </c>
    </row>
    <row r="271" spans="2:29" s="28" customFormat="1" ht="56" x14ac:dyDescent="0.35">
      <c r="B271" s="77">
        <v>20250278</v>
      </c>
      <c r="C271" s="50" t="s">
        <v>209</v>
      </c>
      <c r="D271" s="246" t="s">
        <v>167</v>
      </c>
      <c r="E271" s="51" t="s">
        <v>505</v>
      </c>
      <c r="F271" s="246" t="s">
        <v>372</v>
      </c>
      <c r="G271" s="246" t="s">
        <v>156</v>
      </c>
      <c r="H271" s="93">
        <v>80111600</v>
      </c>
      <c r="I271" s="247">
        <v>1</v>
      </c>
      <c r="J271" s="253">
        <v>10</v>
      </c>
      <c r="K271" s="126">
        <v>0</v>
      </c>
      <c r="L271" s="125">
        <f>44000000-4000000</f>
        <v>40000000</v>
      </c>
      <c r="M271" s="246" t="s">
        <v>464</v>
      </c>
      <c r="N271" s="53" t="s">
        <v>508</v>
      </c>
      <c r="O271" s="51" t="s">
        <v>221</v>
      </c>
      <c r="P271" s="248" t="str">
        <f>IFERROR(VLOOKUP(C271,TD!$B$33:$F$37,2,0)," ")</f>
        <v>O230117</v>
      </c>
      <c r="Q271" s="248" t="str">
        <f>IFERROR(VLOOKUP(C271,TD!$B$33:$F$37,3,0)," ")</f>
        <v>4503</v>
      </c>
      <c r="R271" s="248">
        <f>IFERROR(VLOOKUP(C271,TD!$B$33:$F$37,4,0)," ")</f>
        <v>20240255</v>
      </c>
      <c r="S271" s="51" t="s">
        <v>181</v>
      </c>
      <c r="T271" s="248" t="str">
        <f>IFERROR(VLOOKUP(S271,TD!$J$34:$K$44,2,0)," ")</f>
        <v>Servicio de inspecciones técnicas realizadas</v>
      </c>
      <c r="U271" s="249" t="str">
        <f>CONCATENATE(S271,"-",T271)</f>
        <v>06-Servicio de inspecciones técnicas realizadas</v>
      </c>
      <c r="V271" s="51" t="s">
        <v>234</v>
      </c>
      <c r="W271" s="248" t="str">
        <f>IFERROR(VLOOKUP(V271,TD!$N$34:$O$46,2,0)," ")</f>
        <v>Servicio prevención y control de incendios</v>
      </c>
      <c r="X271" s="249" t="str">
        <f>CONCATENATE(V271,"_",W271)</f>
        <v>035_Servicio prevención y control de incendios</v>
      </c>
      <c r="Y271" s="249" t="str">
        <f>CONCATENATE(U271," ",X271)</f>
        <v>06-Servicio de inspecciones técnicas realizadas 035_Servicio prevención y control de incendios</v>
      </c>
      <c r="Z271" s="248" t="str">
        <f>CONCATENATE(P271,Q271,R271,S271,V271)</f>
        <v>O23011745032024025506035</v>
      </c>
      <c r="AA271" s="248" t="str">
        <f>IFERROR(VLOOKUP(Y271,TD!$K$47:$L$65,2,0)," ")</f>
        <v>PM/0131/0106/45030350255</v>
      </c>
      <c r="AB271" s="53" t="s">
        <v>138</v>
      </c>
      <c r="AC271" s="250" t="s">
        <v>204</v>
      </c>
    </row>
    <row r="272" spans="2:29" s="28" customFormat="1" ht="56" x14ac:dyDescent="0.35">
      <c r="B272" s="77">
        <v>20250279</v>
      </c>
      <c r="C272" s="50" t="s">
        <v>209</v>
      </c>
      <c r="D272" s="246" t="s">
        <v>167</v>
      </c>
      <c r="E272" s="51" t="s">
        <v>505</v>
      </c>
      <c r="F272" s="246" t="s">
        <v>372</v>
      </c>
      <c r="G272" s="246" t="s">
        <v>156</v>
      </c>
      <c r="H272" s="93">
        <v>80111600</v>
      </c>
      <c r="I272" s="247">
        <v>1</v>
      </c>
      <c r="J272" s="253">
        <v>10</v>
      </c>
      <c r="K272" s="126">
        <v>0</v>
      </c>
      <c r="L272" s="125">
        <f>44000000-4000000</f>
        <v>40000000</v>
      </c>
      <c r="M272" s="246" t="s">
        <v>464</v>
      </c>
      <c r="N272" s="53" t="s">
        <v>508</v>
      </c>
      <c r="O272" s="51" t="s">
        <v>221</v>
      </c>
      <c r="P272" s="248" t="str">
        <f>IFERROR(VLOOKUP(C272,TD!$B$33:$F$37,2,0)," ")</f>
        <v>O230117</v>
      </c>
      <c r="Q272" s="248" t="str">
        <f>IFERROR(VLOOKUP(C272,TD!$B$33:$F$37,3,0)," ")</f>
        <v>4503</v>
      </c>
      <c r="R272" s="248">
        <f>IFERROR(VLOOKUP(C272,TD!$B$33:$F$37,4,0)," ")</f>
        <v>20240255</v>
      </c>
      <c r="S272" s="51" t="s">
        <v>181</v>
      </c>
      <c r="T272" s="248" t="str">
        <f>IFERROR(VLOOKUP(S272,TD!$J$34:$K$44,2,0)," ")</f>
        <v>Servicio de inspecciones técnicas realizadas</v>
      </c>
      <c r="U272" s="249" t="str">
        <f>CONCATENATE(S272,"-",T272)</f>
        <v>06-Servicio de inspecciones técnicas realizadas</v>
      </c>
      <c r="V272" s="51" t="s">
        <v>234</v>
      </c>
      <c r="W272" s="248" t="str">
        <f>IFERROR(VLOOKUP(V272,TD!$N$34:$O$46,2,0)," ")</f>
        <v>Servicio prevención y control de incendios</v>
      </c>
      <c r="X272" s="249" t="str">
        <f>CONCATENATE(V272,"_",W272)</f>
        <v>035_Servicio prevención y control de incendios</v>
      </c>
      <c r="Y272" s="249" t="str">
        <f>CONCATENATE(U272," ",X272)</f>
        <v>06-Servicio de inspecciones técnicas realizadas 035_Servicio prevención y control de incendios</v>
      </c>
      <c r="Z272" s="248" t="str">
        <f>CONCATENATE(P272,Q272,R272,S272,V272)</f>
        <v>O23011745032024025506035</v>
      </c>
      <c r="AA272" s="248" t="str">
        <f>IFERROR(VLOOKUP(Y272,TD!$K$47:$L$65,2,0)," ")</f>
        <v>PM/0131/0106/45030350255</v>
      </c>
      <c r="AB272" s="53" t="s">
        <v>138</v>
      </c>
      <c r="AC272" s="250" t="s">
        <v>204</v>
      </c>
    </row>
    <row r="273" spans="2:29" s="28" customFormat="1" ht="56" x14ac:dyDescent="0.35">
      <c r="B273" s="77">
        <v>20250280</v>
      </c>
      <c r="C273" s="50" t="s">
        <v>209</v>
      </c>
      <c r="D273" s="246" t="s">
        <v>167</v>
      </c>
      <c r="E273" s="51" t="s">
        <v>505</v>
      </c>
      <c r="F273" s="246" t="s">
        <v>372</v>
      </c>
      <c r="G273" s="246" t="s">
        <v>156</v>
      </c>
      <c r="H273" s="93">
        <v>80111600</v>
      </c>
      <c r="I273" s="247">
        <v>1</v>
      </c>
      <c r="J273" s="253">
        <v>10</v>
      </c>
      <c r="K273" s="126">
        <v>0</v>
      </c>
      <c r="L273" s="125">
        <v>5466667</v>
      </c>
      <c r="M273" s="246" t="s">
        <v>464</v>
      </c>
      <c r="N273" s="53" t="s">
        <v>508</v>
      </c>
      <c r="O273" s="51" t="s">
        <v>221</v>
      </c>
      <c r="P273" s="248" t="str">
        <f>IFERROR(VLOOKUP(C273,TD!$B$33:$F$37,2,0)," ")</f>
        <v>O230117</v>
      </c>
      <c r="Q273" s="248" t="str">
        <f>IFERROR(VLOOKUP(C273,TD!$B$33:$F$37,3,0)," ")</f>
        <v>4503</v>
      </c>
      <c r="R273" s="248">
        <f>IFERROR(VLOOKUP(C273,TD!$B$33:$F$37,4,0)," ")</f>
        <v>20240255</v>
      </c>
      <c r="S273" s="51" t="s">
        <v>181</v>
      </c>
      <c r="T273" s="248" t="str">
        <f>IFERROR(VLOOKUP(S273,TD!$J$34:$K$44,2,0)," ")</f>
        <v>Servicio de inspecciones técnicas realizadas</v>
      </c>
      <c r="U273" s="249" t="str">
        <f>CONCATENATE(S273,"-",T273)</f>
        <v>06-Servicio de inspecciones técnicas realizadas</v>
      </c>
      <c r="V273" s="51" t="s">
        <v>234</v>
      </c>
      <c r="W273" s="248" t="str">
        <f>IFERROR(VLOOKUP(V273,TD!$N$34:$O$46,2,0)," ")</f>
        <v>Servicio prevención y control de incendios</v>
      </c>
      <c r="X273" s="249" t="str">
        <f>CONCATENATE(V273,"_",W273)</f>
        <v>035_Servicio prevención y control de incendios</v>
      </c>
      <c r="Y273" s="249" t="str">
        <f>CONCATENATE(U273," ",X273)</f>
        <v>06-Servicio de inspecciones técnicas realizadas 035_Servicio prevención y control de incendios</v>
      </c>
      <c r="Z273" s="248" t="str">
        <f>CONCATENATE(P273,Q273,R273,S273,V273)</f>
        <v>O23011745032024025506035</v>
      </c>
      <c r="AA273" s="248" t="str">
        <f>IFERROR(VLOOKUP(Y273,TD!$K$47:$L$65,2,0)," ")</f>
        <v>PM/0131/0106/45030350255</v>
      </c>
      <c r="AB273" s="53" t="s">
        <v>138</v>
      </c>
      <c r="AC273" s="250" t="s">
        <v>204</v>
      </c>
    </row>
    <row r="274" spans="2:29" s="28" customFormat="1" ht="56" x14ac:dyDescent="0.35">
      <c r="B274" s="77">
        <v>20250281</v>
      </c>
      <c r="C274" s="50" t="s">
        <v>209</v>
      </c>
      <c r="D274" s="246" t="s">
        <v>167</v>
      </c>
      <c r="E274" s="51" t="s">
        <v>505</v>
      </c>
      <c r="F274" s="246" t="s">
        <v>372</v>
      </c>
      <c r="G274" s="246" t="s">
        <v>156</v>
      </c>
      <c r="H274" s="93">
        <v>80111600</v>
      </c>
      <c r="I274" s="247">
        <v>1</v>
      </c>
      <c r="J274" s="253">
        <v>10</v>
      </c>
      <c r="K274" s="126">
        <v>0</v>
      </c>
      <c r="L274" s="125">
        <f>44000000-4000000</f>
        <v>40000000</v>
      </c>
      <c r="M274" s="246" t="s">
        <v>464</v>
      </c>
      <c r="N274" s="53" t="s">
        <v>508</v>
      </c>
      <c r="O274" s="51" t="s">
        <v>221</v>
      </c>
      <c r="P274" s="248" t="str">
        <f>IFERROR(VLOOKUP(C274,TD!$B$33:$F$37,2,0)," ")</f>
        <v>O230117</v>
      </c>
      <c r="Q274" s="248" t="str">
        <f>IFERROR(VLOOKUP(C274,TD!$B$33:$F$37,3,0)," ")</f>
        <v>4503</v>
      </c>
      <c r="R274" s="248">
        <f>IFERROR(VLOOKUP(C274,TD!$B$33:$F$37,4,0)," ")</f>
        <v>20240255</v>
      </c>
      <c r="S274" s="51" t="s">
        <v>181</v>
      </c>
      <c r="T274" s="248" t="str">
        <f>IFERROR(VLOOKUP(S274,TD!$J$34:$K$44,2,0)," ")</f>
        <v>Servicio de inspecciones técnicas realizadas</v>
      </c>
      <c r="U274" s="249" t="str">
        <f>CONCATENATE(S274,"-",T274)</f>
        <v>06-Servicio de inspecciones técnicas realizadas</v>
      </c>
      <c r="V274" s="51" t="s">
        <v>234</v>
      </c>
      <c r="W274" s="248" t="str">
        <f>IFERROR(VLOOKUP(V274,TD!$N$34:$O$46,2,0)," ")</f>
        <v>Servicio prevención y control de incendios</v>
      </c>
      <c r="X274" s="249" t="str">
        <f>CONCATENATE(V274,"_",W274)</f>
        <v>035_Servicio prevención y control de incendios</v>
      </c>
      <c r="Y274" s="249" t="str">
        <f>CONCATENATE(U274," ",X274)</f>
        <v>06-Servicio de inspecciones técnicas realizadas 035_Servicio prevención y control de incendios</v>
      </c>
      <c r="Z274" s="248" t="str">
        <f>CONCATENATE(P274,Q274,R274,S274,V274)</f>
        <v>O23011745032024025506035</v>
      </c>
      <c r="AA274" s="248" t="str">
        <f>IFERROR(VLOOKUP(Y274,TD!$K$47:$L$65,2,0)," ")</f>
        <v>PM/0131/0106/45030350255</v>
      </c>
      <c r="AB274" s="53" t="s">
        <v>138</v>
      </c>
      <c r="AC274" s="250" t="s">
        <v>204</v>
      </c>
    </row>
    <row r="275" spans="2:29" s="28" customFormat="1" ht="56" x14ac:dyDescent="0.35">
      <c r="B275" s="77">
        <v>20250282</v>
      </c>
      <c r="C275" s="50" t="s">
        <v>209</v>
      </c>
      <c r="D275" s="246" t="s">
        <v>167</v>
      </c>
      <c r="E275" s="51" t="s">
        <v>505</v>
      </c>
      <c r="F275" s="246" t="s">
        <v>372</v>
      </c>
      <c r="G275" s="246" t="s">
        <v>156</v>
      </c>
      <c r="H275" s="93">
        <v>80111600</v>
      </c>
      <c r="I275" s="247">
        <v>1</v>
      </c>
      <c r="J275" s="253">
        <v>10</v>
      </c>
      <c r="K275" s="126">
        <v>0</v>
      </c>
      <c r="L275" s="125">
        <f>44000000-4000000</f>
        <v>40000000</v>
      </c>
      <c r="M275" s="246" t="s">
        <v>464</v>
      </c>
      <c r="N275" s="53" t="s">
        <v>508</v>
      </c>
      <c r="O275" s="51" t="s">
        <v>221</v>
      </c>
      <c r="P275" s="248" t="str">
        <f>IFERROR(VLOOKUP(C275,TD!$B$33:$F$37,2,0)," ")</f>
        <v>O230117</v>
      </c>
      <c r="Q275" s="248" t="str">
        <f>IFERROR(VLOOKUP(C275,TD!$B$33:$F$37,3,0)," ")</f>
        <v>4503</v>
      </c>
      <c r="R275" s="248">
        <f>IFERROR(VLOOKUP(C275,TD!$B$33:$F$37,4,0)," ")</f>
        <v>20240255</v>
      </c>
      <c r="S275" s="51" t="s">
        <v>181</v>
      </c>
      <c r="T275" s="248" t="str">
        <f>IFERROR(VLOOKUP(S275,TD!$J$34:$K$44,2,0)," ")</f>
        <v>Servicio de inspecciones técnicas realizadas</v>
      </c>
      <c r="U275" s="249" t="str">
        <f>CONCATENATE(S275,"-",T275)</f>
        <v>06-Servicio de inspecciones técnicas realizadas</v>
      </c>
      <c r="V275" s="51" t="s">
        <v>234</v>
      </c>
      <c r="W275" s="248" t="str">
        <f>IFERROR(VLOOKUP(V275,TD!$N$34:$O$46,2,0)," ")</f>
        <v>Servicio prevención y control de incendios</v>
      </c>
      <c r="X275" s="249" t="str">
        <f>CONCATENATE(V275,"_",W275)</f>
        <v>035_Servicio prevención y control de incendios</v>
      </c>
      <c r="Y275" s="249" t="str">
        <f>CONCATENATE(U275," ",X275)</f>
        <v>06-Servicio de inspecciones técnicas realizadas 035_Servicio prevención y control de incendios</v>
      </c>
      <c r="Z275" s="248" t="str">
        <f>CONCATENATE(P275,Q275,R275,S275,V275)</f>
        <v>O23011745032024025506035</v>
      </c>
      <c r="AA275" s="248" t="str">
        <f>IFERROR(VLOOKUP(Y275,TD!$K$47:$L$65,2,0)," ")</f>
        <v>PM/0131/0106/45030350255</v>
      </c>
      <c r="AB275" s="53" t="s">
        <v>138</v>
      </c>
      <c r="AC275" s="250" t="s">
        <v>204</v>
      </c>
    </row>
    <row r="276" spans="2:29" s="28" customFormat="1" ht="56" x14ac:dyDescent="0.35">
      <c r="B276" s="77">
        <v>20250283</v>
      </c>
      <c r="C276" s="50" t="s">
        <v>209</v>
      </c>
      <c r="D276" s="246" t="s">
        <v>167</v>
      </c>
      <c r="E276" s="51" t="s">
        <v>505</v>
      </c>
      <c r="F276" s="246" t="s">
        <v>372</v>
      </c>
      <c r="G276" s="246" t="s">
        <v>156</v>
      </c>
      <c r="H276" s="93">
        <v>80111600</v>
      </c>
      <c r="I276" s="247">
        <v>1</v>
      </c>
      <c r="J276" s="253">
        <v>10</v>
      </c>
      <c r="K276" s="126">
        <v>0</v>
      </c>
      <c r="L276" s="125">
        <f>44000000-4000000</f>
        <v>40000000</v>
      </c>
      <c r="M276" s="246" t="s">
        <v>464</v>
      </c>
      <c r="N276" s="53" t="s">
        <v>508</v>
      </c>
      <c r="O276" s="51" t="s">
        <v>221</v>
      </c>
      <c r="P276" s="248" t="str">
        <f>IFERROR(VLOOKUP(C276,TD!$B$33:$F$37,2,0)," ")</f>
        <v>O230117</v>
      </c>
      <c r="Q276" s="248" t="str">
        <f>IFERROR(VLOOKUP(C276,TD!$B$33:$F$37,3,0)," ")</f>
        <v>4503</v>
      </c>
      <c r="R276" s="248">
        <f>IFERROR(VLOOKUP(C276,TD!$B$33:$F$37,4,0)," ")</f>
        <v>20240255</v>
      </c>
      <c r="S276" s="51" t="s">
        <v>181</v>
      </c>
      <c r="T276" s="248" t="str">
        <f>IFERROR(VLOOKUP(S276,TD!$J$34:$K$44,2,0)," ")</f>
        <v>Servicio de inspecciones técnicas realizadas</v>
      </c>
      <c r="U276" s="249" t="str">
        <f>CONCATENATE(S276,"-",T276)</f>
        <v>06-Servicio de inspecciones técnicas realizadas</v>
      </c>
      <c r="V276" s="51" t="s">
        <v>234</v>
      </c>
      <c r="W276" s="248" t="str">
        <f>IFERROR(VLOOKUP(V276,TD!$N$34:$O$46,2,0)," ")</f>
        <v>Servicio prevención y control de incendios</v>
      </c>
      <c r="X276" s="249" t="str">
        <f>CONCATENATE(V276,"_",W276)</f>
        <v>035_Servicio prevención y control de incendios</v>
      </c>
      <c r="Y276" s="249" t="str">
        <f>CONCATENATE(U276," ",X276)</f>
        <v>06-Servicio de inspecciones técnicas realizadas 035_Servicio prevención y control de incendios</v>
      </c>
      <c r="Z276" s="248" t="str">
        <f>CONCATENATE(P276,Q276,R276,S276,V276)</f>
        <v>O23011745032024025506035</v>
      </c>
      <c r="AA276" s="248" t="str">
        <f>IFERROR(VLOOKUP(Y276,TD!$K$47:$L$65,2,0)," ")</f>
        <v>PM/0131/0106/45030350255</v>
      </c>
      <c r="AB276" s="53" t="s">
        <v>138</v>
      </c>
      <c r="AC276" s="250" t="s">
        <v>204</v>
      </c>
    </row>
    <row r="277" spans="2:29" s="28" customFormat="1" ht="56" x14ac:dyDescent="0.35">
      <c r="B277" s="77">
        <v>20250284</v>
      </c>
      <c r="C277" s="50" t="s">
        <v>209</v>
      </c>
      <c r="D277" s="246" t="s">
        <v>167</v>
      </c>
      <c r="E277" s="51" t="s">
        <v>505</v>
      </c>
      <c r="F277" s="246" t="s">
        <v>372</v>
      </c>
      <c r="G277" s="246" t="s">
        <v>156</v>
      </c>
      <c r="H277" s="93">
        <v>80111600</v>
      </c>
      <c r="I277" s="247">
        <v>1</v>
      </c>
      <c r="J277" s="253">
        <v>10</v>
      </c>
      <c r="K277" s="126">
        <v>0</v>
      </c>
      <c r="L277" s="125">
        <v>28000000</v>
      </c>
      <c r="M277" s="246" t="s">
        <v>464</v>
      </c>
      <c r="N277" s="53" t="s">
        <v>508</v>
      </c>
      <c r="O277" s="51" t="s">
        <v>221</v>
      </c>
      <c r="P277" s="248" t="str">
        <f>IFERROR(VLOOKUP(C277,TD!$B$33:$F$37,2,0)," ")</f>
        <v>O230117</v>
      </c>
      <c r="Q277" s="248" t="str">
        <f>IFERROR(VLOOKUP(C277,TD!$B$33:$F$37,3,0)," ")</f>
        <v>4503</v>
      </c>
      <c r="R277" s="248">
        <f>IFERROR(VLOOKUP(C277,TD!$B$33:$F$37,4,0)," ")</f>
        <v>20240255</v>
      </c>
      <c r="S277" s="51" t="s">
        <v>181</v>
      </c>
      <c r="T277" s="248" t="str">
        <f>IFERROR(VLOOKUP(S277,TD!$J$34:$K$44,2,0)," ")</f>
        <v>Servicio de inspecciones técnicas realizadas</v>
      </c>
      <c r="U277" s="249" t="str">
        <f>CONCATENATE(S277,"-",T277)</f>
        <v>06-Servicio de inspecciones técnicas realizadas</v>
      </c>
      <c r="V277" s="51" t="s">
        <v>234</v>
      </c>
      <c r="W277" s="248" t="str">
        <f>IFERROR(VLOOKUP(V277,TD!$N$34:$O$46,2,0)," ")</f>
        <v>Servicio prevención y control de incendios</v>
      </c>
      <c r="X277" s="249" t="str">
        <f>CONCATENATE(V277,"_",W277)</f>
        <v>035_Servicio prevención y control de incendios</v>
      </c>
      <c r="Y277" s="249" t="str">
        <f>CONCATENATE(U277," ",X277)</f>
        <v>06-Servicio de inspecciones técnicas realizadas 035_Servicio prevención y control de incendios</v>
      </c>
      <c r="Z277" s="248" t="str">
        <f>CONCATENATE(P277,Q277,R277,S277,V277)</f>
        <v>O23011745032024025506035</v>
      </c>
      <c r="AA277" s="248" t="str">
        <f>IFERROR(VLOOKUP(Y277,TD!$K$47:$L$65,2,0)," ")</f>
        <v>PM/0131/0106/45030350255</v>
      </c>
      <c r="AB277" s="53" t="s">
        <v>138</v>
      </c>
      <c r="AC277" s="250" t="s">
        <v>204</v>
      </c>
    </row>
    <row r="278" spans="2:29" s="28" customFormat="1" ht="56" x14ac:dyDescent="0.35">
      <c r="B278" s="77">
        <v>20250285</v>
      </c>
      <c r="C278" s="50" t="s">
        <v>209</v>
      </c>
      <c r="D278" s="246" t="s">
        <v>167</v>
      </c>
      <c r="E278" s="51" t="s">
        <v>505</v>
      </c>
      <c r="F278" s="246" t="s">
        <v>372</v>
      </c>
      <c r="G278" s="246" t="s">
        <v>156</v>
      </c>
      <c r="H278" s="93">
        <v>80111600</v>
      </c>
      <c r="I278" s="247">
        <v>1</v>
      </c>
      <c r="J278" s="253">
        <v>10</v>
      </c>
      <c r="K278" s="126">
        <v>0</v>
      </c>
      <c r="L278" s="125">
        <v>28000000</v>
      </c>
      <c r="M278" s="246" t="s">
        <v>464</v>
      </c>
      <c r="N278" s="53" t="s">
        <v>508</v>
      </c>
      <c r="O278" s="51" t="s">
        <v>221</v>
      </c>
      <c r="P278" s="248" t="str">
        <f>IFERROR(VLOOKUP(C278,TD!$B$33:$F$37,2,0)," ")</f>
        <v>O230117</v>
      </c>
      <c r="Q278" s="248" t="str">
        <f>IFERROR(VLOOKUP(C278,TD!$B$33:$F$37,3,0)," ")</f>
        <v>4503</v>
      </c>
      <c r="R278" s="248">
        <f>IFERROR(VLOOKUP(C278,TD!$B$33:$F$37,4,0)," ")</f>
        <v>20240255</v>
      </c>
      <c r="S278" s="51" t="s">
        <v>181</v>
      </c>
      <c r="T278" s="248" t="str">
        <f>IFERROR(VLOOKUP(S278,TD!$J$34:$K$44,2,0)," ")</f>
        <v>Servicio de inspecciones técnicas realizadas</v>
      </c>
      <c r="U278" s="249" t="str">
        <f>CONCATENATE(S278,"-",T278)</f>
        <v>06-Servicio de inspecciones técnicas realizadas</v>
      </c>
      <c r="V278" s="51" t="s">
        <v>234</v>
      </c>
      <c r="W278" s="248" t="str">
        <f>IFERROR(VLOOKUP(V278,TD!$N$34:$O$46,2,0)," ")</f>
        <v>Servicio prevención y control de incendios</v>
      </c>
      <c r="X278" s="249" t="str">
        <f>CONCATENATE(V278,"_",W278)</f>
        <v>035_Servicio prevención y control de incendios</v>
      </c>
      <c r="Y278" s="249" t="str">
        <f>CONCATENATE(U278," ",X278)</f>
        <v>06-Servicio de inspecciones técnicas realizadas 035_Servicio prevención y control de incendios</v>
      </c>
      <c r="Z278" s="248" t="str">
        <f>CONCATENATE(P278,Q278,R278,S278,V278)</f>
        <v>O23011745032024025506035</v>
      </c>
      <c r="AA278" s="248" t="str">
        <f>IFERROR(VLOOKUP(Y278,TD!$K$47:$L$65,2,0)," ")</f>
        <v>PM/0131/0106/45030350255</v>
      </c>
      <c r="AB278" s="53" t="s">
        <v>138</v>
      </c>
      <c r="AC278" s="250" t="s">
        <v>204</v>
      </c>
    </row>
    <row r="279" spans="2:29" s="28" customFormat="1" ht="56" x14ac:dyDescent="0.35">
      <c r="B279" s="77">
        <v>20250286</v>
      </c>
      <c r="C279" s="50" t="s">
        <v>209</v>
      </c>
      <c r="D279" s="246" t="s">
        <v>167</v>
      </c>
      <c r="E279" s="51" t="s">
        <v>505</v>
      </c>
      <c r="F279" s="246" t="s">
        <v>372</v>
      </c>
      <c r="G279" s="246" t="s">
        <v>156</v>
      </c>
      <c r="H279" s="93">
        <v>80111600</v>
      </c>
      <c r="I279" s="247">
        <v>1</v>
      </c>
      <c r="J279" s="253">
        <v>10</v>
      </c>
      <c r="K279" s="126">
        <v>0</v>
      </c>
      <c r="L279" s="125">
        <v>28000000</v>
      </c>
      <c r="M279" s="246" t="s">
        <v>464</v>
      </c>
      <c r="N279" s="53" t="s">
        <v>508</v>
      </c>
      <c r="O279" s="51" t="s">
        <v>221</v>
      </c>
      <c r="P279" s="248" t="str">
        <f>IFERROR(VLOOKUP(C279,TD!$B$33:$F$37,2,0)," ")</f>
        <v>O230117</v>
      </c>
      <c r="Q279" s="248" t="str">
        <f>IFERROR(VLOOKUP(C279,TD!$B$33:$F$37,3,0)," ")</f>
        <v>4503</v>
      </c>
      <c r="R279" s="248">
        <f>IFERROR(VLOOKUP(C279,TD!$B$33:$F$37,4,0)," ")</f>
        <v>20240255</v>
      </c>
      <c r="S279" s="51" t="s">
        <v>181</v>
      </c>
      <c r="T279" s="248" t="str">
        <f>IFERROR(VLOOKUP(S279,TD!$J$34:$K$44,2,0)," ")</f>
        <v>Servicio de inspecciones técnicas realizadas</v>
      </c>
      <c r="U279" s="249" t="str">
        <f>CONCATENATE(S279,"-",T279)</f>
        <v>06-Servicio de inspecciones técnicas realizadas</v>
      </c>
      <c r="V279" s="51" t="s">
        <v>234</v>
      </c>
      <c r="W279" s="248" t="str">
        <f>IFERROR(VLOOKUP(V279,TD!$N$34:$O$46,2,0)," ")</f>
        <v>Servicio prevención y control de incendios</v>
      </c>
      <c r="X279" s="249" t="str">
        <f>CONCATENATE(V279,"_",W279)</f>
        <v>035_Servicio prevención y control de incendios</v>
      </c>
      <c r="Y279" s="249" t="str">
        <f>CONCATENATE(U279," ",X279)</f>
        <v>06-Servicio de inspecciones técnicas realizadas 035_Servicio prevención y control de incendios</v>
      </c>
      <c r="Z279" s="248" t="str">
        <f>CONCATENATE(P279,Q279,R279,S279,V279)</f>
        <v>O23011745032024025506035</v>
      </c>
      <c r="AA279" s="248" t="str">
        <f>IFERROR(VLOOKUP(Y279,TD!$K$47:$L$65,2,0)," ")</f>
        <v>PM/0131/0106/45030350255</v>
      </c>
      <c r="AB279" s="53" t="s">
        <v>138</v>
      </c>
      <c r="AC279" s="250" t="s">
        <v>204</v>
      </c>
    </row>
    <row r="280" spans="2:29" s="28" customFormat="1" ht="56" x14ac:dyDescent="0.35">
      <c r="B280" s="77">
        <v>20250288</v>
      </c>
      <c r="C280" s="50" t="s">
        <v>209</v>
      </c>
      <c r="D280" s="246" t="s">
        <v>167</v>
      </c>
      <c r="E280" s="51" t="s">
        <v>505</v>
      </c>
      <c r="F280" s="246" t="s">
        <v>370</v>
      </c>
      <c r="G280" s="246" t="s">
        <v>155</v>
      </c>
      <c r="H280" s="93">
        <v>80111600</v>
      </c>
      <c r="I280" s="247">
        <v>1</v>
      </c>
      <c r="J280" s="247">
        <v>10</v>
      </c>
      <c r="K280" s="52">
        <v>0</v>
      </c>
      <c r="L280" s="53">
        <v>90000000</v>
      </c>
      <c r="M280" s="246" t="s">
        <v>464</v>
      </c>
      <c r="N280" s="53" t="s">
        <v>508</v>
      </c>
      <c r="O280" s="51" t="s">
        <v>221</v>
      </c>
      <c r="P280" s="248" t="str">
        <f>IFERROR(VLOOKUP(C280,TD!$B$33:$F$37,2,0)," ")</f>
        <v>O230117</v>
      </c>
      <c r="Q280" s="248" t="str">
        <f>IFERROR(VLOOKUP(C280,TD!$B$33:$F$37,3,0)," ")</f>
        <v>4503</v>
      </c>
      <c r="R280" s="248">
        <f>IFERROR(VLOOKUP(C280,TD!$B$33:$F$37,4,0)," ")</f>
        <v>20240255</v>
      </c>
      <c r="S280" s="51" t="s">
        <v>177</v>
      </c>
      <c r="T280" s="248" t="str">
        <f>IFERROR(VLOOKUP(S280,TD!$J$34:$K$44,2,0)," ")</f>
        <v>Servicio de capacitaciones en gestión del riesgo de incendios  a la ciudadania.</v>
      </c>
      <c r="U280" s="249" t="str">
        <f>CONCATENATE(S280,"-",T280)</f>
        <v>05-Servicio de capacitaciones en gestión del riesgo de incendios  a la ciudadania.</v>
      </c>
      <c r="V280" s="51" t="s">
        <v>234</v>
      </c>
      <c r="W280" s="248" t="str">
        <f>IFERROR(VLOOKUP(V280,TD!$N$34:$O$46,2,0)," ")</f>
        <v>Servicio prevención y control de incendios</v>
      </c>
      <c r="X280" s="249" t="str">
        <f>CONCATENATE(V280,"_",W280)</f>
        <v>035_Servicio prevención y control de incendios</v>
      </c>
      <c r="Y280" s="249" t="str">
        <f>CONCATENATE(U280," ",X280)</f>
        <v>05-Servicio de capacitaciones en gestión del riesgo de incendios  a la ciudadania. 035_Servicio prevención y control de incendios</v>
      </c>
      <c r="Z280" s="248" t="str">
        <f>CONCATENATE(P280,Q280,R280,S280,V280)</f>
        <v>O23011745032024025505035</v>
      </c>
      <c r="AA280" s="248" t="str">
        <f>IFERROR(VLOOKUP(Y280,TD!$K$47:$L$65,2,0)," ")</f>
        <v>PM/0131/0105/45030350255</v>
      </c>
      <c r="AB280" s="53" t="s">
        <v>138</v>
      </c>
      <c r="AC280" s="250" t="s">
        <v>204</v>
      </c>
    </row>
    <row r="281" spans="2:29" s="28" customFormat="1" ht="56" x14ac:dyDescent="0.35">
      <c r="B281" s="77">
        <v>20250290</v>
      </c>
      <c r="C281" s="50" t="s">
        <v>209</v>
      </c>
      <c r="D281" s="246" t="s">
        <v>167</v>
      </c>
      <c r="E281" s="51" t="s">
        <v>505</v>
      </c>
      <c r="F281" s="246" t="s">
        <v>370</v>
      </c>
      <c r="G281" s="246" t="s">
        <v>155</v>
      </c>
      <c r="H281" s="93">
        <v>80111600</v>
      </c>
      <c r="I281" s="247">
        <v>1</v>
      </c>
      <c r="J281" s="253">
        <v>10</v>
      </c>
      <c r="K281" s="126">
        <v>0</v>
      </c>
      <c r="L281" s="125">
        <v>49000000</v>
      </c>
      <c r="M281" s="246" t="s">
        <v>464</v>
      </c>
      <c r="N281" s="53" t="s">
        <v>508</v>
      </c>
      <c r="O281" s="51" t="s">
        <v>221</v>
      </c>
      <c r="P281" s="248" t="str">
        <f>IFERROR(VLOOKUP(C281,TD!$B$33:$F$37,2,0)," ")</f>
        <v>O230117</v>
      </c>
      <c r="Q281" s="248" t="str">
        <f>IFERROR(VLOOKUP(C281,TD!$B$33:$F$37,3,0)," ")</f>
        <v>4503</v>
      </c>
      <c r="R281" s="248">
        <f>IFERROR(VLOOKUP(C281,TD!$B$33:$F$37,4,0)," ")</f>
        <v>20240255</v>
      </c>
      <c r="S281" s="51" t="s">
        <v>177</v>
      </c>
      <c r="T281" s="248" t="str">
        <f>IFERROR(VLOOKUP(S281,TD!$J$34:$K$44,2,0)," ")</f>
        <v>Servicio de capacitaciones en gestión del riesgo de incendios  a la ciudadania.</v>
      </c>
      <c r="U281" s="249" t="str">
        <f>CONCATENATE(S281,"-",T281)</f>
        <v>05-Servicio de capacitaciones en gestión del riesgo de incendios  a la ciudadania.</v>
      </c>
      <c r="V281" s="51" t="s">
        <v>234</v>
      </c>
      <c r="W281" s="248" t="str">
        <f>IFERROR(VLOOKUP(V281,TD!$N$34:$O$46,2,0)," ")</f>
        <v>Servicio prevención y control de incendios</v>
      </c>
      <c r="X281" s="249" t="str">
        <f>CONCATENATE(V281,"_",W281)</f>
        <v>035_Servicio prevención y control de incendios</v>
      </c>
      <c r="Y281" s="249" t="str">
        <f>CONCATENATE(U281," ",X281)</f>
        <v>05-Servicio de capacitaciones en gestión del riesgo de incendios  a la ciudadania. 035_Servicio prevención y control de incendios</v>
      </c>
      <c r="Z281" s="248" t="str">
        <f>CONCATENATE(P281,Q281,R281,S281,V281)</f>
        <v>O23011745032024025505035</v>
      </c>
      <c r="AA281" s="248" t="str">
        <f>IFERROR(VLOOKUP(Y281,TD!$K$47:$L$65,2,0)," ")</f>
        <v>PM/0131/0105/45030350255</v>
      </c>
      <c r="AB281" s="53" t="s">
        <v>138</v>
      </c>
      <c r="AC281" s="250" t="s">
        <v>204</v>
      </c>
    </row>
    <row r="282" spans="2:29" s="28" customFormat="1" ht="42" x14ac:dyDescent="0.35">
      <c r="B282" s="77">
        <v>20250293</v>
      </c>
      <c r="C282" s="50" t="s">
        <v>209</v>
      </c>
      <c r="D282" s="246" t="s">
        <v>169</v>
      </c>
      <c r="E282" s="51" t="s">
        <v>465</v>
      </c>
      <c r="F282" s="246" t="s">
        <v>522</v>
      </c>
      <c r="G282" s="246" t="s">
        <v>156</v>
      </c>
      <c r="H282" s="93">
        <v>80111600</v>
      </c>
      <c r="I282" s="247">
        <v>2</v>
      </c>
      <c r="J282" s="247">
        <v>6</v>
      </c>
      <c r="K282" s="52">
        <v>0</v>
      </c>
      <c r="L282" s="53">
        <v>18000000</v>
      </c>
      <c r="M282" s="246" t="s">
        <v>464</v>
      </c>
      <c r="N282" s="53" t="s">
        <v>113</v>
      </c>
      <c r="O282" s="51" t="s">
        <v>222</v>
      </c>
      <c r="P282" s="248" t="str">
        <f>IFERROR(VLOOKUP(C282,TD!$B$33:$F$37,2,0)," ")</f>
        <v>O230117</v>
      </c>
      <c r="Q282" s="248" t="str">
        <f>IFERROR(VLOOKUP(C282,TD!$B$33:$F$37,3,0)," ")</f>
        <v>4503</v>
      </c>
      <c r="R282" s="248">
        <f>IFERROR(VLOOKUP(C282,TD!$B$33:$F$37,4,0)," ")</f>
        <v>20240255</v>
      </c>
      <c r="S282" s="51" t="s">
        <v>175</v>
      </c>
      <c r="T282" s="248" t="str">
        <f>IFERROR(VLOOKUP(S282,TD!$J$34:$K$44,2,0)," ")</f>
        <v>Servicio de atención a incidentes y emergencias.</v>
      </c>
      <c r="U282" s="249" t="str">
        <f>CONCATENATE(S282,"-",T282)</f>
        <v>04-Servicio de atención a incidentes y emergencias.</v>
      </c>
      <c r="V282" s="51" t="s">
        <v>232</v>
      </c>
      <c r="W282" s="248" t="str">
        <f>IFERROR(VLOOKUP(V282,TD!$N$34:$O$46,2,0)," ")</f>
        <v>Servicio de atención a emergencias y desastres</v>
      </c>
      <c r="X282" s="249" t="str">
        <f>CONCATENATE(V282,"_",W282)</f>
        <v>004_Servicio de atención a emergencias y desastres</v>
      </c>
      <c r="Y282" s="249" t="str">
        <f>CONCATENATE(U282," ",X282)</f>
        <v>04-Servicio de atención a incidentes y emergencias. 004_Servicio de atención a emergencias y desastres</v>
      </c>
      <c r="Z282" s="248" t="str">
        <f>CONCATENATE(P282,Q282,R282,S282,V282)</f>
        <v>O23011745032024025504004</v>
      </c>
      <c r="AA282" s="248" t="str">
        <f>IFERROR(VLOOKUP(Y282,TD!$K$47:$L$65,2,0)," ")</f>
        <v>PM/0131/0104/45030040255</v>
      </c>
      <c r="AB282" s="53" t="s">
        <v>138</v>
      </c>
      <c r="AC282" s="250" t="s">
        <v>204</v>
      </c>
    </row>
    <row r="283" spans="2:29" s="28" customFormat="1" ht="42" x14ac:dyDescent="0.35">
      <c r="B283" s="77">
        <v>20250294</v>
      </c>
      <c r="C283" s="50" t="s">
        <v>209</v>
      </c>
      <c r="D283" s="246" t="s">
        <v>169</v>
      </c>
      <c r="E283" s="51" t="s">
        <v>465</v>
      </c>
      <c r="F283" s="246" t="s">
        <v>522</v>
      </c>
      <c r="G283" s="246" t="s">
        <v>156</v>
      </c>
      <c r="H283" s="93">
        <v>80111600</v>
      </c>
      <c r="I283" s="247">
        <v>2</v>
      </c>
      <c r="J283" s="247">
        <v>6</v>
      </c>
      <c r="K283" s="52">
        <v>0</v>
      </c>
      <c r="L283" s="53">
        <v>18000000</v>
      </c>
      <c r="M283" s="246" t="s">
        <v>464</v>
      </c>
      <c r="N283" s="53" t="s">
        <v>113</v>
      </c>
      <c r="O283" s="51" t="s">
        <v>222</v>
      </c>
      <c r="P283" s="248" t="str">
        <f>IFERROR(VLOOKUP(C283,TD!$B$33:$F$37,2,0)," ")</f>
        <v>O230117</v>
      </c>
      <c r="Q283" s="248" t="str">
        <f>IFERROR(VLOOKUP(C283,TD!$B$33:$F$37,3,0)," ")</f>
        <v>4503</v>
      </c>
      <c r="R283" s="248">
        <f>IFERROR(VLOOKUP(C283,TD!$B$33:$F$37,4,0)," ")</f>
        <v>20240255</v>
      </c>
      <c r="S283" s="51" t="s">
        <v>175</v>
      </c>
      <c r="T283" s="248" t="str">
        <f>IFERROR(VLOOKUP(S283,TD!$J$34:$K$44,2,0)," ")</f>
        <v>Servicio de atención a incidentes y emergencias.</v>
      </c>
      <c r="U283" s="249" t="str">
        <f>CONCATENATE(S283,"-",T283)</f>
        <v>04-Servicio de atención a incidentes y emergencias.</v>
      </c>
      <c r="V283" s="51" t="s">
        <v>232</v>
      </c>
      <c r="W283" s="248" t="str">
        <f>IFERROR(VLOOKUP(V283,TD!$N$34:$O$46,2,0)," ")</f>
        <v>Servicio de atención a emergencias y desastres</v>
      </c>
      <c r="X283" s="249" t="str">
        <f>CONCATENATE(V283,"_",W283)</f>
        <v>004_Servicio de atención a emergencias y desastres</v>
      </c>
      <c r="Y283" s="249" t="str">
        <f>CONCATENATE(U283," ",X283)</f>
        <v>04-Servicio de atención a incidentes y emergencias. 004_Servicio de atención a emergencias y desastres</v>
      </c>
      <c r="Z283" s="248" t="str">
        <f>CONCATENATE(P283,Q283,R283,S283,V283)</f>
        <v>O23011745032024025504004</v>
      </c>
      <c r="AA283" s="248" t="str">
        <f>IFERROR(VLOOKUP(Y283,TD!$K$47:$L$65,2,0)," ")</f>
        <v>PM/0131/0104/45030040255</v>
      </c>
      <c r="AB283" s="53" t="s">
        <v>138</v>
      </c>
      <c r="AC283" s="250" t="s">
        <v>204</v>
      </c>
    </row>
    <row r="284" spans="2:29" s="28" customFormat="1" ht="42" x14ac:dyDescent="0.35">
      <c r="B284" s="77">
        <v>20250295</v>
      </c>
      <c r="C284" s="50" t="s">
        <v>209</v>
      </c>
      <c r="D284" s="246" t="s">
        <v>169</v>
      </c>
      <c r="E284" s="51" t="s">
        <v>465</v>
      </c>
      <c r="F284" s="246" t="s">
        <v>522</v>
      </c>
      <c r="G284" s="246" t="s">
        <v>156</v>
      </c>
      <c r="H284" s="93">
        <v>80111600</v>
      </c>
      <c r="I284" s="247">
        <v>2</v>
      </c>
      <c r="J284" s="247">
        <v>6</v>
      </c>
      <c r="K284" s="52">
        <v>0</v>
      </c>
      <c r="L284" s="53">
        <v>18000000</v>
      </c>
      <c r="M284" s="246" t="s">
        <v>464</v>
      </c>
      <c r="N284" s="53" t="s">
        <v>113</v>
      </c>
      <c r="O284" s="51" t="s">
        <v>222</v>
      </c>
      <c r="P284" s="248" t="str">
        <f>IFERROR(VLOOKUP(C284,TD!$B$33:$F$37,2,0)," ")</f>
        <v>O230117</v>
      </c>
      <c r="Q284" s="248" t="str">
        <f>IFERROR(VLOOKUP(C284,TD!$B$33:$F$37,3,0)," ")</f>
        <v>4503</v>
      </c>
      <c r="R284" s="248">
        <f>IFERROR(VLOOKUP(C284,TD!$B$33:$F$37,4,0)," ")</f>
        <v>20240255</v>
      </c>
      <c r="S284" s="51" t="s">
        <v>175</v>
      </c>
      <c r="T284" s="248" t="str">
        <f>IFERROR(VLOOKUP(S284,TD!$J$34:$K$44,2,0)," ")</f>
        <v>Servicio de atención a incidentes y emergencias.</v>
      </c>
      <c r="U284" s="249" t="str">
        <f>CONCATENATE(S284,"-",T284)</f>
        <v>04-Servicio de atención a incidentes y emergencias.</v>
      </c>
      <c r="V284" s="51" t="s">
        <v>232</v>
      </c>
      <c r="W284" s="248" t="str">
        <f>IFERROR(VLOOKUP(V284,TD!$N$34:$O$46,2,0)," ")</f>
        <v>Servicio de atención a emergencias y desastres</v>
      </c>
      <c r="X284" s="249" t="str">
        <f>CONCATENATE(V284,"_",W284)</f>
        <v>004_Servicio de atención a emergencias y desastres</v>
      </c>
      <c r="Y284" s="249" t="str">
        <f>CONCATENATE(U284," ",X284)</f>
        <v>04-Servicio de atención a incidentes y emergencias. 004_Servicio de atención a emergencias y desastres</v>
      </c>
      <c r="Z284" s="248" t="str">
        <f>CONCATENATE(P284,Q284,R284,S284,V284)</f>
        <v>O23011745032024025504004</v>
      </c>
      <c r="AA284" s="248" t="str">
        <f>IFERROR(VLOOKUP(Y284,TD!$K$47:$L$65,2,0)," ")</f>
        <v>PM/0131/0104/45030040255</v>
      </c>
      <c r="AB284" s="53" t="s">
        <v>138</v>
      </c>
      <c r="AC284" s="250" t="s">
        <v>204</v>
      </c>
    </row>
    <row r="285" spans="2:29" s="28" customFormat="1" ht="42" x14ac:dyDescent="0.35">
      <c r="B285" s="77">
        <v>20250296</v>
      </c>
      <c r="C285" s="50" t="s">
        <v>209</v>
      </c>
      <c r="D285" s="246" t="s">
        <v>169</v>
      </c>
      <c r="E285" s="51" t="s">
        <v>465</v>
      </c>
      <c r="F285" s="246" t="s">
        <v>522</v>
      </c>
      <c r="G285" s="246" t="s">
        <v>156</v>
      </c>
      <c r="H285" s="93">
        <v>80111600</v>
      </c>
      <c r="I285" s="247">
        <v>2</v>
      </c>
      <c r="J285" s="247">
        <v>6</v>
      </c>
      <c r="K285" s="52">
        <v>0</v>
      </c>
      <c r="L285" s="53">
        <v>18000000</v>
      </c>
      <c r="M285" s="246" t="s">
        <v>464</v>
      </c>
      <c r="N285" s="53" t="s">
        <v>113</v>
      </c>
      <c r="O285" s="51" t="s">
        <v>222</v>
      </c>
      <c r="P285" s="248" t="str">
        <f>IFERROR(VLOOKUP(C285,TD!$B$33:$F$37,2,0)," ")</f>
        <v>O230117</v>
      </c>
      <c r="Q285" s="248" t="str">
        <f>IFERROR(VLOOKUP(C285,TD!$B$33:$F$37,3,0)," ")</f>
        <v>4503</v>
      </c>
      <c r="R285" s="248">
        <f>IFERROR(VLOOKUP(C285,TD!$B$33:$F$37,4,0)," ")</f>
        <v>20240255</v>
      </c>
      <c r="S285" s="51" t="s">
        <v>175</v>
      </c>
      <c r="T285" s="248" t="str">
        <f>IFERROR(VLOOKUP(S285,TD!$J$34:$K$44,2,0)," ")</f>
        <v>Servicio de atención a incidentes y emergencias.</v>
      </c>
      <c r="U285" s="249" t="str">
        <f>CONCATENATE(S285,"-",T285)</f>
        <v>04-Servicio de atención a incidentes y emergencias.</v>
      </c>
      <c r="V285" s="51" t="s">
        <v>232</v>
      </c>
      <c r="W285" s="248" t="str">
        <f>IFERROR(VLOOKUP(V285,TD!$N$34:$O$46,2,0)," ")</f>
        <v>Servicio de atención a emergencias y desastres</v>
      </c>
      <c r="X285" s="249" t="str">
        <f>CONCATENATE(V285,"_",W285)</f>
        <v>004_Servicio de atención a emergencias y desastres</v>
      </c>
      <c r="Y285" s="249" t="str">
        <f>CONCATENATE(U285," ",X285)</f>
        <v>04-Servicio de atención a incidentes y emergencias. 004_Servicio de atención a emergencias y desastres</v>
      </c>
      <c r="Z285" s="248" t="str">
        <f>CONCATENATE(P285,Q285,R285,S285,V285)</f>
        <v>O23011745032024025504004</v>
      </c>
      <c r="AA285" s="248" t="str">
        <f>IFERROR(VLOOKUP(Y285,TD!$K$47:$L$65,2,0)," ")</f>
        <v>PM/0131/0104/45030040255</v>
      </c>
      <c r="AB285" s="53" t="s">
        <v>138</v>
      </c>
      <c r="AC285" s="250" t="s">
        <v>204</v>
      </c>
    </row>
    <row r="286" spans="2:29" s="28" customFormat="1" ht="42" x14ac:dyDescent="0.35">
      <c r="B286" s="77">
        <v>20250297</v>
      </c>
      <c r="C286" s="50" t="s">
        <v>209</v>
      </c>
      <c r="D286" s="246" t="s">
        <v>169</v>
      </c>
      <c r="E286" s="51" t="s">
        <v>465</v>
      </c>
      <c r="F286" s="246" t="s">
        <v>522</v>
      </c>
      <c r="G286" s="246" t="s">
        <v>156</v>
      </c>
      <c r="H286" s="93">
        <v>80111600</v>
      </c>
      <c r="I286" s="247">
        <v>3</v>
      </c>
      <c r="J286" s="247">
        <v>6</v>
      </c>
      <c r="K286" s="52">
        <v>0</v>
      </c>
      <c r="L286" s="53">
        <v>18000000</v>
      </c>
      <c r="M286" s="246" t="s">
        <v>464</v>
      </c>
      <c r="N286" s="53" t="s">
        <v>113</v>
      </c>
      <c r="O286" s="51" t="s">
        <v>222</v>
      </c>
      <c r="P286" s="248" t="str">
        <f>IFERROR(VLOOKUP(C286,TD!$B$33:$F$37,2,0)," ")</f>
        <v>O230117</v>
      </c>
      <c r="Q286" s="248" t="str">
        <f>IFERROR(VLOOKUP(C286,TD!$B$33:$F$37,3,0)," ")</f>
        <v>4503</v>
      </c>
      <c r="R286" s="248">
        <f>IFERROR(VLOOKUP(C286,TD!$B$33:$F$37,4,0)," ")</f>
        <v>20240255</v>
      </c>
      <c r="S286" s="51" t="s">
        <v>175</v>
      </c>
      <c r="T286" s="248" t="str">
        <f>IFERROR(VLOOKUP(S286,TD!$J$34:$K$44,2,0)," ")</f>
        <v>Servicio de atención a incidentes y emergencias.</v>
      </c>
      <c r="U286" s="249" t="str">
        <f>CONCATENATE(S286,"-",T286)</f>
        <v>04-Servicio de atención a incidentes y emergencias.</v>
      </c>
      <c r="V286" s="51" t="s">
        <v>232</v>
      </c>
      <c r="W286" s="248" t="str">
        <f>IFERROR(VLOOKUP(V286,TD!$N$34:$O$46,2,0)," ")</f>
        <v>Servicio de atención a emergencias y desastres</v>
      </c>
      <c r="X286" s="249" t="str">
        <f>CONCATENATE(V286,"_",W286)</f>
        <v>004_Servicio de atención a emergencias y desastres</v>
      </c>
      <c r="Y286" s="249" t="str">
        <f>CONCATENATE(U286," ",X286)</f>
        <v>04-Servicio de atención a incidentes y emergencias. 004_Servicio de atención a emergencias y desastres</v>
      </c>
      <c r="Z286" s="248" t="str">
        <f>CONCATENATE(P286,Q286,R286,S286,V286)</f>
        <v>O23011745032024025504004</v>
      </c>
      <c r="AA286" s="248" t="str">
        <f>IFERROR(VLOOKUP(Y286,TD!$K$47:$L$65,2,0)," ")</f>
        <v>PM/0131/0104/45030040255</v>
      </c>
      <c r="AB286" s="53" t="s">
        <v>138</v>
      </c>
      <c r="AC286" s="250" t="s">
        <v>204</v>
      </c>
    </row>
    <row r="287" spans="2:29" s="28" customFormat="1" ht="42" x14ac:dyDescent="0.35">
      <c r="B287" s="77">
        <v>20250298</v>
      </c>
      <c r="C287" s="50" t="s">
        <v>209</v>
      </c>
      <c r="D287" s="246" t="s">
        <v>169</v>
      </c>
      <c r="E287" s="51" t="s">
        <v>465</v>
      </c>
      <c r="F287" s="246" t="s">
        <v>522</v>
      </c>
      <c r="G287" s="246" t="s">
        <v>156</v>
      </c>
      <c r="H287" s="93">
        <v>80111600</v>
      </c>
      <c r="I287" s="247">
        <v>3</v>
      </c>
      <c r="J287" s="247">
        <v>6</v>
      </c>
      <c r="K287" s="52">
        <v>0</v>
      </c>
      <c r="L287" s="53">
        <v>18000000</v>
      </c>
      <c r="M287" s="246" t="s">
        <v>464</v>
      </c>
      <c r="N287" s="53" t="s">
        <v>113</v>
      </c>
      <c r="O287" s="51" t="s">
        <v>222</v>
      </c>
      <c r="P287" s="248" t="str">
        <f>IFERROR(VLOOKUP(C287,TD!$B$33:$F$37,2,0)," ")</f>
        <v>O230117</v>
      </c>
      <c r="Q287" s="248" t="str">
        <f>IFERROR(VLOOKUP(C287,TD!$B$33:$F$37,3,0)," ")</f>
        <v>4503</v>
      </c>
      <c r="R287" s="248">
        <f>IFERROR(VLOOKUP(C287,TD!$B$33:$F$37,4,0)," ")</f>
        <v>20240255</v>
      </c>
      <c r="S287" s="51" t="s">
        <v>175</v>
      </c>
      <c r="T287" s="248" t="str">
        <f>IFERROR(VLOOKUP(S287,TD!$J$34:$K$44,2,0)," ")</f>
        <v>Servicio de atención a incidentes y emergencias.</v>
      </c>
      <c r="U287" s="249" t="str">
        <f>CONCATENATE(S287,"-",T287)</f>
        <v>04-Servicio de atención a incidentes y emergencias.</v>
      </c>
      <c r="V287" s="51" t="s">
        <v>232</v>
      </c>
      <c r="W287" s="248" t="str">
        <f>IFERROR(VLOOKUP(V287,TD!$N$34:$O$46,2,0)," ")</f>
        <v>Servicio de atención a emergencias y desastres</v>
      </c>
      <c r="X287" s="249" t="str">
        <f>CONCATENATE(V287,"_",W287)</f>
        <v>004_Servicio de atención a emergencias y desastres</v>
      </c>
      <c r="Y287" s="249" t="str">
        <f>CONCATENATE(U287," ",X287)</f>
        <v>04-Servicio de atención a incidentes y emergencias. 004_Servicio de atención a emergencias y desastres</v>
      </c>
      <c r="Z287" s="248" t="str">
        <f>CONCATENATE(P287,Q287,R287,S287,V287)</f>
        <v>O23011745032024025504004</v>
      </c>
      <c r="AA287" s="248" t="str">
        <f>IFERROR(VLOOKUP(Y287,TD!$K$47:$L$65,2,0)," ")</f>
        <v>PM/0131/0104/45030040255</v>
      </c>
      <c r="AB287" s="53" t="s">
        <v>138</v>
      </c>
      <c r="AC287" s="250" t="s">
        <v>204</v>
      </c>
    </row>
    <row r="288" spans="2:29" s="28" customFormat="1" ht="42" x14ac:dyDescent="0.35">
      <c r="B288" s="77">
        <v>20250300</v>
      </c>
      <c r="C288" s="50" t="s">
        <v>209</v>
      </c>
      <c r="D288" s="246" t="s">
        <v>169</v>
      </c>
      <c r="E288" s="51" t="s">
        <v>465</v>
      </c>
      <c r="F288" s="246" t="s">
        <v>523</v>
      </c>
      <c r="G288" s="246" t="s">
        <v>156</v>
      </c>
      <c r="H288" s="93">
        <v>80111600</v>
      </c>
      <c r="I288" s="247">
        <v>2</v>
      </c>
      <c r="J288" s="247">
        <v>6</v>
      </c>
      <c r="K288" s="52">
        <v>0</v>
      </c>
      <c r="L288" s="53">
        <v>17400000</v>
      </c>
      <c r="M288" s="246" t="s">
        <v>464</v>
      </c>
      <c r="N288" s="53" t="s">
        <v>113</v>
      </c>
      <c r="O288" s="51" t="s">
        <v>222</v>
      </c>
      <c r="P288" s="248" t="str">
        <f>IFERROR(VLOOKUP(C288,TD!$B$33:$F$37,2,0)," ")</f>
        <v>O230117</v>
      </c>
      <c r="Q288" s="248" t="str">
        <f>IFERROR(VLOOKUP(C288,TD!$B$33:$F$37,3,0)," ")</f>
        <v>4503</v>
      </c>
      <c r="R288" s="248">
        <f>IFERROR(VLOOKUP(C288,TD!$B$33:$F$37,4,0)," ")</f>
        <v>20240255</v>
      </c>
      <c r="S288" s="51" t="s">
        <v>175</v>
      </c>
      <c r="T288" s="248" t="str">
        <f>IFERROR(VLOOKUP(S288,TD!$J$34:$K$44,2,0)," ")</f>
        <v>Servicio de atención a incidentes y emergencias.</v>
      </c>
      <c r="U288" s="249" t="str">
        <f>CONCATENATE(S288,"-",T288)</f>
        <v>04-Servicio de atención a incidentes y emergencias.</v>
      </c>
      <c r="V288" s="51" t="s">
        <v>232</v>
      </c>
      <c r="W288" s="248" t="str">
        <f>IFERROR(VLOOKUP(V288,TD!$N$34:$O$46,2,0)," ")</f>
        <v>Servicio de atención a emergencias y desastres</v>
      </c>
      <c r="X288" s="249" t="str">
        <f>CONCATENATE(V288,"_",W288)</f>
        <v>004_Servicio de atención a emergencias y desastres</v>
      </c>
      <c r="Y288" s="249" t="str">
        <f>CONCATENATE(U288," ",X288)</f>
        <v>04-Servicio de atención a incidentes y emergencias. 004_Servicio de atención a emergencias y desastres</v>
      </c>
      <c r="Z288" s="248" t="str">
        <f>CONCATENATE(P288,Q288,R288,S288,V288)</f>
        <v>O23011745032024025504004</v>
      </c>
      <c r="AA288" s="248" t="str">
        <f>IFERROR(VLOOKUP(Y288,TD!$K$47:$L$65,2,0)," ")</f>
        <v>PM/0131/0104/45030040255</v>
      </c>
      <c r="AB288" s="53" t="s">
        <v>138</v>
      </c>
      <c r="AC288" s="250" t="s">
        <v>204</v>
      </c>
    </row>
    <row r="289" spans="2:29" s="28" customFormat="1" ht="42" x14ac:dyDescent="0.35">
      <c r="B289" s="77">
        <v>20250301</v>
      </c>
      <c r="C289" s="50" t="s">
        <v>209</v>
      </c>
      <c r="D289" s="246" t="s">
        <v>169</v>
      </c>
      <c r="E289" s="51" t="s">
        <v>465</v>
      </c>
      <c r="F289" s="246" t="s">
        <v>523</v>
      </c>
      <c r="G289" s="246" t="s">
        <v>156</v>
      </c>
      <c r="H289" s="93">
        <v>80111600</v>
      </c>
      <c r="I289" s="247">
        <v>2</v>
      </c>
      <c r="J289" s="247">
        <v>6</v>
      </c>
      <c r="K289" s="52">
        <v>0</v>
      </c>
      <c r="L289" s="53">
        <v>17400000</v>
      </c>
      <c r="M289" s="246" t="s">
        <v>464</v>
      </c>
      <c r="N289" s="53" t="s">
        <v>113</v>
      </c>
      <c r="O289" s="51" t="s">
        <v>222</v>
      </c>
      <c r="P289" s="248" t="str">
        <f>IFERROR(VLOOKUP(C289,TD!$B$33:$F$37,2,0)," ")</f>
        <v>O230117</v>
      </c>
      <c r="Q289" s="248" t="str">
        <f>IFERROR(VLOOKUP(C289,TD!$B$33:$F$37,3,0)," ")</f>
        <v>4503</v>
      </c>
      <c r="R289" s="248">
        <f>IFERROR(VLOOKUP(C289,TD!$B$33:$F$37,4,0)," ")</f>
        <v>20240255</v>
      </c>
      <c r="S289" s="51" t="s">
        <v>175</v>
      </c>
      <c r="T289" s="248" t="str">
        <f>IFERROR(VLOOKUP(S289,TD!$J$34:$K$44,2,0)," ")</f>
        <v>Servicio de atención a incidentes y emergencias.</v>
      </c>
      <c r="U289" s="249" t="str">
        <f>CONCATENATE(S289,"-",T289)</f>
        <v>04-Servicio de atención a incidentes y emergencias.</v>
      </c>
      <c r="V289" s="51" t="s">
        <v>232</v>
      </c>
      <c r="W289" s="248" t="str">
        <f>IFERROR(VLOOKUP(V289,TD!$N$34:$O$46,2,0)," ")</f>
        <v>Servicio de atención a emergencias y desastres</v>
      </c>
      <c r="X289" s="249" t="str">
        <f>CONCATENATE(V289,"_",W289)</f>
        <v>004_Servicio de atención a emergencias y desastres</v>
      </c>
      <c r="Y289" s="249" t="str">
        <f>CONCATENATE(U289," ",X289)</f>
        <v>04-Servicio de atención a incidentes y emergencias. 004_Servicio de atención a emergencias y desastres</v>
      </c>
      <c r="Z289" s="248" t="str">
        <f>CONCATENATE(P289,Q289,R289,S289,V289)</f>
        <v>O23011745032024025504004</v>
      </c>
      <c r="AA289" s="248" t="str">
        <f>IFERROR(VLOOKUP(Y289,TD!$K$47:$L$65,2,0)," ")</f>
        <v>PM/0131/0104/45030040255</v>
      </c>
      <c r="AB289" s="53" t="s">
        <v>138</v>
      </c>
      <c r="AC289" s="250" t="s">
        <v>204</v>
      </c>
    </row>
    <row r="290" spans="2:29" s="28" customFormat="1" ht="42" x14ac:dyDescent="0.35">
      <c r="B290" s="77">
        <v>20250302</v>
      </c>
      <c r="C290" s="50" t="s">
        <v>209</v>
      </c>
      <c r="D290" s="246" t="s">
        <v>169</v>
      </c>
      <c r="E290" s="51" t="s">
        <v>465</v>
      </c>
      <c r="F290" s="246" t="s">
        <v>523</v>
      </c>
      <c r="G290" s="246" t="s">
        <v>156</v>
      </c>
      <c r="H290" s="93">
        <v>80111600</v>
      </c>
      <c r="I290" s="247">
        <v>2</v>
      </c>
      <c r="J290" s="247">
        <v>6</v>
      </c>
      <c r="K290" s="52">
        <v>0</v>
      </c>
      <c r="L290" s="53">
        <v>17400000</v>
      </c>
      <c r="M290" s="246" t="s">
        <v>464</v>
      </c>
      <c r="N290" s="53" t="s">
        <v>113</v>
      </c>
      <c r="O290" s="51" t="s">
        <v>222</v>
      </c>
      <c r="P290" s="248" t="str">
        <f>IFERROR(VLOOKUP(C290,TD!$B$33:$F$37,2,0)," ")</f>
        <v>O230117</v>
      </c>
      <c r="Q290" s="248" t="str">
        <f>IFERROR(VLOOKUP(C290,TD!$B$33:$F$37,3,0)," ")</f>
        <v>4503</v>
      </c>
      <c r="R290" s="248">
        <f>IFERROR(VLOOKUP(C290,TD!$B$33:$F$37,4,0)," ")</f>
        <v>20240255</v>
      </c>
      <c r="S290" s="51" t="s">
        <v>175</v>
      </c>
      <c r="T290" s="248" t="str">
        <f>IFERROR(VLOOKUP(S290,TD!$J$34:$K$44,2,0)," ")</f>
        <v>Servicio de atención a incidentes y emergencias.</v>
      </c>
      <c r="U290" s="249" t="str">
        <f>CONCATENATE(S290,"-",T290)</f>
        <v>04-Servicio de atención a incidentes y emergencias.</v>
      </c>
      <c r="V290" s="51" t="s">
        <v>232</v>
      </c>
      <c r="W290" s="248" t="str">
        <f>IFERROR(VLOOKUP(V290,TD!$N$34:$O$46,2,0)," ")</f>
        <v>Servicio de atención a emergencias y desastres</v>
      </c>
      <c r="X290" s="249" t="str">
        <f>CONCATENATE(V290,"_",W290)</f>
        <v>004_Servicio de atención a emergencias y desastres</v>
      </c>
      <c r="Y290" s="249" t="str">
        <f>CONCATENATE(U290," ",X290)</f>
        <v>04-Servicio de atención a incidentes y emergencias. 004_Servicio de atención a emergencias y desastres</v>
      </c>
      <c r="Z290" s="248" t="str">
        <f>CONCATENATE(P290,Q290,R290,S290,V290)</f>
        <v>O23011745032024025504004</v>
      </c>
      <c r="AA290" s="248" t="str">
        <f>IFERROR(VLOOKUP(Y290,TD!$K$47:$L$65,2,0)," ")</f>
        <v>PM/0131/0104/45030040255</v>
      </c>
      <c r="AB290" s="53" t="s">
        <v>138</v>
      </c>
      <c r="AC290" s="250" t="s">
        <v>204</v>
      </c>
    </row>
    <row r="291" spans="2:29" s="28" customFormat="1" ht="42" x14ac:dyDescent="0.35">
      <c r="B291" s="77">
        <v>20250303</v>
      </c>
      <c r="C291" s="50" t="s">
        <v>209</v>
      </c>
      <c r="D291" s="246" t="s">
        <v>169</v>
      </c>
      <c r="E291" s="51" t="s">
        <v>465</v>
      </c>
      <c r="F291" s="246" t="s">
        <v>523</v>
      </c>
      <c r="G291" s="246" t="s">
        <v>156</v>
      </c>
      <c r="H291" s="93">
        <v>80111600</v>
      </c>
      <c r="I291" s="247">
        <v>2</v>
      </c>
      <c r="J291" s="247">
        <v>6</v>
      </c>
      <c r="K291" s="52">
        <v>0</v>
      </c>
      <c r="L291" s="53">
        <v>17400000</v>
      </c>
      <c r="M291" s="246" t="s">
        <v>464</v>
      </c>
      <c r="N291" s="53" t="s">
        <v>113</v>
      </c>
      <c r="O291" s="51" t="s">
        <v>222</v>
      </c>
      <c r="P291" s="248" t="str">
        <f>IFERROR(VLOOKUP(C291,TD!$B$33:$F$37,2,0)," ")</f>
        <v>O230117</v>
      </c>
      <c r="Q291" s="248" t="str">
        <f>IFERROR(VLOOKUP(C291,TD!$B$33:$F$37,3,0)," ")</f>
        <v>4503</v>
      </c>
      <c r="R291" s="248">
        <f>IFERROR(VLOOKUP(C291,TD!$B$33:$F$37,4,0)," ")</f>
        <v>20240255</v>
      </c>
      <c r="S291" s="51" t="s">
        <v>175</v>
      </c>
      <c r="T291" s="248" t="str">
        <f>IFERROR(VLOOKUP(S291,TD!$J$34:$K$44,2,0)," ")</f>
        <v>Servicio de atención a incidentes y emergencias.</v>
      </c>
      <c r="U291" s="249" t="str">
        <f>CONCATENATE(S291,"-",T291)</f>
        <v>04-Servicio de atención a incidentes y emergencias.</v>
      </c>
      <c r="V291" s="51" t="s">
        <v>232</v>
      </c>
      <c r="W291" s="248" t="str">
        <f>IFERROR(VLOOKUP(V291,TD!$N$34:$O$46,2,0)," ")</f>
        <v>Servicio de atención a emergencias y desastres</v>
      </c>
      <c r="X291" s="249" t="str">
        <f>CONCATENATE(V291,"_",W291)</f>
        <v>004_Servicio de atención a emergencias y desastres</v>
      </c>
      <c r="Y291" s="249" t="str">
        <f>CONCATENATE(U291," ",X291)</f>
        <v>04-Servicio de atención a incidentes y emergencias. 004_Servicio de atención a emergencias y desastres</v>
      </c>
      <c r="Z291" s="248" t="str">
        <f>CONCATENATE(P291,Q291,R291,S291,V291)</f>
        <v>O23011745032024025504004</v>
      </c>
      <c r="AA291" s="248" t="str">
        <f>IFERROR(VLOOKUP(Y291,TD!$K$47:$L$65,2,0)," ")</f>
        <v>PM/0131/0104/45030040255</v>
      </c>
      <c r="AB291" s="53" t="s">
        <v>138</v>
      </c>
      <c r="AC291" s="250" t="s">
        <v>204</v>
      </c>
    </row>
    <row r="292" spans="2:29" s="28" customFormat="1" ht="42" x14ac:dyDescent="0.35">
      <c r="B292" s="77">
        <v>20250304</v>
      </c>
      <c r="C292" s="50" t="s">
        <v>209</v>
      </c>
      <c r="D292" s="246" t="s">
        <v>169</v>
      </c>
      <c r="E292" s="51" t="s">
        <v>465</v>
      </c>
      <c r="F292" s="246" t="s">
        <v>523</v>
      </c>
      <c r="G292" s="246" t="s">
        <v>156</v>
      </c>
      <c r="H292" s="93">
        <v>80111600</v>
      </c>
      <c r="I292" s="247">
        <v>2</v>
      </c>
      <c r="J292" s="247">
        <v>6</v>
      </c>
      <c r="K292" s="52">
        <v>0</v>
      </c>
      <c r="L292" s="53">
        <v>17400000</v>
      </c>
      <c r="M292" s="246" t="s">
        <v>464</v>
      </c>
      <c r="N292" s="53" t="s">
        <v>113</v>
      </c>
      <c r="O292" s="51" t="s">
        <v>222</v>
      </c>
      <c r="P292" s="248" t="str">
        <f>IFERROR(VLOOKUP(C292,TD!$B$33:$F$37,2,0)," ")</f>
        <v>O230117</v>
      </c>
      <c r="Q292" s="248" t="str">
        <f>IFERROR(VLOOKUP(C292,TD!$B$33:$F$37,3,0)," ")</f>
        <v>4503</v>
      </c>
      <c r="R292" s="248">
        <f>IFERROR(VLOOKUP(C292,TD!$B$33:$F$37,4,0)," ")</f>
        <v>20240255</v>
      </c>
      <c r="S292" s="51" t="s">
        <v>175</v>
      </c>
      <c r="T292" s="248" t="str">
        <f>IFERROR(VLOOKUP(S292,TD!$J$34:$K$44,2,0)," ")</f>
        <v>Servicio de atención a incidentes y emergencias.</v>
      </c>
      <c r="U292" s="249" t="str">
        <f>CONCATENATE(S292,"-",T292)</f>
        <v>04-Servicio de atención a incidentes y emergencias.</v>
      </c>
      <c r="V292" s="51" t="s">
        <v>232</v>
      </c>
      <c r="W292" s="248" t="str">
        <f>IFERROR(VLOOKUP(V292,TD!$N$34:$O$46,2,0)," ")</f>
        <v>Servicio de atención a emergencias y desastres</v>
      </c>
      <c r="X292" s="249" t="str">
        <f>CONCATENATE(V292,"_",W292)</f>
        <v>004_Servicio de atención a emergencias y desastres</v>
      </c>
      <c r="Y292" s="249" t="str">
        <f>CONCATENATE(U292," ",X292)</f>
        <v>04-Servicio de atención a incidentes y emergencias. 004_Servicio de atención a emergencias y desastres</v>
      </c>
      <c r="Z292" s="248" t="str">
        <f>CONCATENATE(P292,Q292,R292,S292,V292)</f>
        <v>O23011745032024025504004</v>
      </c>
      <c r="AA292" s="248" t="str">
        <f>IFERROR(VLOOKUP(Y292,TD!$K$47:$L$65,2,0)," ")</f>
        <v>PM/0131/0104/45030040255</v>
      </c>
      <c r="AB292" s="53" t="s">
        <v>138</v>
      </c>
      <c r="AC292" s="250" t="s">
        <v>204</v>
      </c>
    </row>
    <row r="293" spans="2:29" s="28" customFormat="1" ht="42" x14ac:dyDescent="0.35">
      <c r="B293" s="77">
        <v>20250305</v>
      </c>
      <c r="C293" s="50" t="s">
        <v>209</v>
      </c>
      <c r="D293" s="246" t="s">
        <v>169</v>
      </c>
      <c r="E293" s="51" t="s">
        <v>465</v>
      </c>
      <c r="F293" s="246" t="s">
        <v>523</v>
      </c>
      <c r="G293" s="246" t="s">
        <v>156</v>
      </c>
      <c r="H293" s="93">
        <v>80111600</v>
      </c>
      <c r="I293" s="247">
        <v>2</v>
      </c>
      <c r="J293" s="247">
        <v>6</v>
      </c>
      <c r="K293" s="52">
        <v>0</v>
      </c>
      <c r="L293" s="53">
        <v>17400000</v>
      </c>
      <c r="M293" s="246" t="s">
        <v>464</v>
      </c>
      <c r="N293" s="53" t="s">
        <v>113</v>
      </c>
      <c r="O293" s="51" t="s">
        <v>222</v>
      </c>
      <c r="P293" s="248" t="str">
        <f>IFERROR(VLOOKUP(C293,TD!$B$33:$F$37,2,0)," ")</f>
        <v>O230117</v>
      </c>
      <c r="Q293" s="248" t="str">
        <f>IFERROR(VLOOKUP(C293,TD!$B$33:$F$37,3,0)," ")</f>
        <v>4503</v>
      </c>
      <c r="R293" s="248">
        <f>IFERROR(VLOOKUP(C293,TD!$B$33:$F$37,4,0)," ")</f>
        <v>20240255</v>
      </c>
      <c r="S293" s="51" t="s">
        <v>175</v>
      </c>
      <c r="T293" s="248" t="str">
        <f>IFERROR(VLOOKUP(S293,TD!$J$34:$K$44,2,0)," ")</f>
        <v>Servicio de atención a incidentes y emergencias.</v>
      </c>
      <c r="U293" s="249" t="str">
        <f>CONCATENATE(S293,"-",T293)</f>
        <v>04-Servicio de atención a incidentes y emergencias.</v>
      </c>
      <c r="V293" s="51" t="s">
        <v>232</v>
      </c>
      <c r="W293" s="248" t="str">
        <f>IFERROR(VLOOKUP(V293,TD!$N$34:$O$46,2,0)," ")</f>
        <v>Servicio de atención a emergencias y desastres</v>
      </c>
      <c r="X293" s="249" t="str">
        <f>CONCATENATE(V293,"_",W293)</f>
        <v>004_Servicio de atención a emergencias y desastres</v>
      </c>
      <c r="Y293" s="249" t="str">
        <f>CONCATENATE(U293," ",X293)</f>
        <v>04-Servicio de atención a incidentes y emergencias. 004_Servicio de atención a emergencias y desastres</v>
      </c>
      <c r="Z293" s="248" t="str">
        <f>CONCATENATE(P293,Q293,R293,S293,V293)</f>
        <v>O23011745032024025504004</v>
      </c>
      <c r="AA293" s="248" t="str">
        <f>IFERROR(VLOOKUP(Y293,TD!$K$47:$L$65,2,0)," ")</f>
        <v>PM/0131/0104/45030040255</v>
      </c>
      <c r="AB293" s="53" t="s">
        <v>138</v>
      </c>
      <c r="AC293" s="250" t="s">
        <v>204</v>
      </c>
    </row>
    <row r="294" spans="2:29" s="28" customFormat="1" ht="42" x14ac:dyDescent="0.35">
      <c r="B294" s="77">
        <v>20250306</v>
      </c>
      <c r="C294" s="50" t="s">
        <v>209</v>
      </c>
      <c r="D294" s="246" t="s">
        <v>169</v>
      </c>
      <c r="E294" s="51" t="s">
        <v>465</v>
      </c>
      <c r="F294" s="246" t="s">
        <v>523</v>
      </c>
      <c r="G294" s="246" t="s">
        <v>156</v>
      </c>
      <c r="H294" s="93">
        <v>80111600</v>
      </c>
      <c r="I294" s="247">
        <v>2</v>
      </c>
      <c r="J294" s="247">
        <v>6</v>
      </c>
      <c r="K294" s="52">
        <v>8</v>
      </c>
      <c r="L294" s="53">
        <v>17400000</v>
      </c>
      <c r="M294" s="246" t="s">
        <v>464</v>
      </c>
      <c r="N294" s="53" t="s">
        <v>113</v>
      </c>
      <c r="O294" s="51" t="s">
        <v>222</v>
      </c>
      <c r="P294" s="248" t="str">
        <f>IFERROR(VLOOKUP(C294,TD!$B$33:$F$37,2,0)," ")</f>
        <v>O230117</v>
      </c>
      <c r="Q294" s="248" t="str">
        <f>IFERROR(VLOOKUP(C294,TD!$B$33:$F$37,3,0)," ")</f>
        <v>4503</v>
      </c>
      <c r="R294" s="248">
        <f>IFERROR(VLOOKUP(C294,TD!$B$33:$F$37,4,0)," ")</f>
        <v>20240255</v>
      </c>
      <c r="S294" s="51" t="s">
        <v>175</v>
      </c>
      <c r="T294" s="248" t="str">
        <f>IFERROR(VLOOKUP(S294,TD!$J$34:$K$44,2,0)," ")</f>
        <v>Servicio de atención a incidentes y emergencias.</v>
      </c>
      <c r="U294" s="249" t="str">
        <f>CONCATENATE(S294,"-",T294)</f>
        <v>04-Servicio de atención a incidentes y emergencias.</v>
      </c>
      <c r="V294" s="51" t="s">
        <v>232</v>
      </c>
      <c r="W294" s="248" t="str">
        <f>IFERROR(VLOOKUP(V294,TD!$N$34:$O$46,2,0)," ")</f>
        <v>Servicio de atención a emergencias y desastres</v>
      </c>
      <c r="X294" s="249" t="str">
        <f>CONCATENATE(V294,"_",W294)</f>
        <v>004_Servicio de atención a emergencias y desastres</v>
      </c>
      <c r="Y294" s="249" t="str">
        <f>CONCATENATE(U294," ",X294)</f>
        <v>04-Servicio de atención a incidentes y emergencias. 004_Servicio de atención a emergencias y desastres</v>
      </c>
      <c r="Z294" s="248" t="str">
        <f>CONCATENATE(P294,Q294,R294,S294,V294)</f>
        <v>O23011745032024025504004</v>
      </c>
      <c r="AA294" s="248" t="str">
        <f>IFERROR(VLOOKUP(Y294,TD!$K$47:$L$65,2,0)," ")</f>
        <v>PM/0131/0104/45030040255</v>
      </c>
      <c r="AB294" s="53" t="s">
        <v>138</v>
      </c>
      <c r="AC294" s="250" t="s">
        <v>204</v>
      </c>
    </row>
    <row r="295" spans="2:29" s="28" customFormat="1" ht="42" x14ac:dyDescent="0.35">
      <c r="B295" s="77">
        <v>20250307</v>
      </c>
      <c r="C295" s="50" t="s">
        <v>209</v>
      </c>
      <c r="D295" s="246" t="s">
        <v>169</v>
      </c>
      <c r="E295" s="51" t="s">
        <v>465</v>
      </c>
      <c r="F295" s="246" t="s">
        <v>523</v>
      </c>
      <c r="G295" s="246" t="s">
        <v>156</v>
      </c>
      <c r="H295" s="93">
        <v>80111600</v>
      </c>
      <c r="I295" s="247">
        <v>2</v>
      </c>
      <c r="J295" s="247">
        <v>6</v>
      </c>
      <c r="K295" s="52">
        <v>0</v>
      </c>
      <c r="L295" s="53">
        <v>17400000</v>
      </c>
      <c r="M295" s="246" t="s">
        <v>464</v>
      </c>
      <c r="N295" s="53" t="s">
        <v>113</v>
      </c>
      <c r="O295" s="51" t="s">
        <v>222</v>
      </c>
      <c r="P295" s="248" t="str">
        <f>IFERROR(VLOOKUP(C295,TD!$B$33:$F$37,2,0)," ")</f>
        <v>O230117</v>
      </c>
      <c r="Q295" s="248" t="str">
        <f>IFERROR(VLOOKUP(C295,TD!$B$33:$F$37,3,0)," ")</f>
        <v>4503</v>
      </c>
      <c r="R295" s="248">
        <f>IFERROR(VLOOKUP(C295,TD!$B$33:$F$37,4,0)," ")</f>
        <v>20240255</v>
      </c>
      <c r="S295" s="51" t="s">
        <v>175</v>
      </c>
      <c r="T295" s="248" t="str">
        <f>IFERROR(VLOOKUP(S295,TD!$J$34:$K$44,2,0)," ")</f>
        <v>Servicio de atención a incidentes y emergencias.</v>
      </c>
      <c r="U295" s="249" t="str">
        <f>CONCATENATE(S295,"-",T295)</f>
        <v>04-Servicio de atención a incidentes y emergencias.</v>
      </c>
      <c r="V295" s="51" t="s">
        <v>232</v>
      </c>
      <c r="W295" s="248" t="str">
        <f>IFERROR(VLOOKUP(V295,TD!$N$34:$O$46,2,0)," ")</f>
        <v>Servicio de atención a emergencias y desastres</v>
      </c>
      <c r="X295" s="249" t="str">
        <f>CONCATENATE(V295,"_",W295)</f>
        <v>004_Servicio de atención a emergencias y desastres</v>
      </c>
      <c r="Y295" s="249" t="str">
        <f>CONCATENATE(U295," ",X295)</f>
        <v>04-Servicio de atención a incidentes y emergencias. 004_Servicio de atención a emergencias y desastres</v>
      </c>
      <c r="Z295" s="248" t="str">
        <f>CONCATENATE(P295,Q295,R295,S295,V295)</f>
        <v>O23011745032024025504004</v>
      </c>
      <c r="AA295" s="248" t="str">
        <f>IFERROR(VLOOKUP(Y295,TD!$K$47:$L$65,2,0)," ")</f>
        <v>PM/0131/0104/45030040255</v>
      </c>
      <c r="AB295" s="53" t="s">
        <v>138</v>
      </c>
      <c r="AC295" s="250" t="s">
        <v>204</v>
      </c>
    </row>
    <row r="296" spans="2:29" s="28" customFormat="1" ht="42" x14ac:dyDescent="0.35">
      <c r="B296" s="77">
        <v>20250308</v>
      </c>
      <c r="C296" s="50" t="s">
        <v>209</v>
      </c>
      <c r="D296" s="246" t="s">
        <v>169</v>
      </c>
      <c r="E296" s="51" t="s">
        <v>465</v>
      </c>
      <c r="F296" s="246" t="s">
        <v>523</v>
      </c>
      <c r="G296" s="246" t="s">
        <v>156</v>
      </c>
      <c r="H296" s="93">
        <v>80111600</v>
      </c>
      <c r="I296" s="247">
        <v>2</v>
      </c>
      <c r="J296" s="247">
        <v>6</v>
      </c>
      <c r="K296" s="52">
        <v>0</v>
      </c>
      <c r="L296" s="53">
        <v>17400000</v>
      </c>
      <c r="M296" s="246" t="s">
        <v>464</v>
      </c>
      <c r="N296" s="53" t="s">
        <v>113</v>
      </c>
      <c r="O296" s="51" t="s">
        <v>222</v>
      </c>
      <c r="P296" s="248" t="str">
        <f>IFERROR(VLOOKUP(C296,TD!$B$33:$F$37,2,0)," ")</f>
        <v>O230117</v>
      </c>
      <c r="Q296" s="248" t="str">
        <f>IFERROR(VLOOKUP(C296,TD!$B$33:$F$37,3,0)," ")</f>
        <v>4503</v>
      </c>
      <c r="R296" s="248">
        <f>IFERROR(VLOOKUP(C296,TD!$B$33:$F$37,4,0)," ")</f>
        <v>20240255</v>
      </c>
      <c r="S296" s="51" t="s">
        <v>175</v>
      </c>
      <c r="T296" s="248" t="str">
        <f>IFERROR(VLOOKUP(S296,TD!$J$34:$K$44,2,0)," ")</f>
        <v>Servicio de atención a incidentes y emergencias.</v>
      </c>
      <c r="U296" s="249" t="str">
        <f>CONCATENATE(S296,"-",T296)</f>
        <v>04-Servicio de atención a incidentes y emergencias.</v>
      </c>
      <c r="V296" s="51" t="s">
        <v>232</v>
      </c>
      <c r="W296" s="248" t="str">
        <f>IFERROR(VLOOKUP(V296,TD!$N$34:$O$46,2,0)," ")</f>
        <v>Servicio de atención a emergencias y desastres</v>
      </c>
      <c r="X296" s="249" t="str">
        <f>CONCATENATE(V296,"_",W296)</f>
        <v>004_Servicio de atención a emergencias y desastres</v>
      </c>
      <c r="Y296" s="249" t="str">
        <f>CONCATENATE(U296," ",X296)</f>
        <v>04-Servicio de atención a incidentes y emergencias. 004_Servicio de atención a emergencias y desastres</v>
      </c>
      <c r="Z296" s="248" t="str">
        <f>CONCATENATE(P296,Q296,R296,S296,V296)</f>
        <v>O23011745032024025504004</v>
      </c>
      <c r="AA296" s="248" t="str">
        <f>IFERROR(VLOOKUP(Y296,TD!$K$47:$L$65,2,0)," ")</f>
        <v>PM/0131/0104/45030040255</v>
      </c>
      <c r="AB296" s="53" t="s">
        <v>138</v>
      </c>
      <c r="AC296" s="250" t="s">
        <v>204</v>
      </c>
    </row>
    <row r="297" spans="2:29" s="28" customFormat="1" ht="42" x14ac:dyDescent="0.35">
      <c r="B297" s="77">
        <v>20250309</v>
      </c>
      <c r="C297" s="50" t="s">
        <v>209</v>
      </c>
      <c r="D297" s="246" t="s">
        <v>169</v>
      </c>
      <c r="E297" s="51" t="s">
        <v>465</v>
      </c>
      <c r="F297" s="246" t="s">
        <v>523</v>
      </c>
      <c r="G297" s="246" t="s">
        <v>156</v>
      </c>
      <c r="H297" s="93">
        <v>80111600</v>
      </c>
      <c r="I297" s="247">
        <v>3</v>
      </c>
      <c r="J297" s="247">
        <v>6</v>
      </c>
      <c r="K297" s="52">
        <v>0</v>
      </c>
      <c r="L297" s="53">
        <v>17400000</v>
      </c>
      <c r="M297" s="246" t="s">
        <v>464</v>
      </c>
      <c r="N297" s="53" t="s">
        <v>113</v>
      </c>
      <c r="O297" s="51" t="s">
        <v>222</v>
      </c>
      <c r="P297" s="248" t="str">
        <f>IFERROR(VLOOKUP(C297,TD!$B$33:$F$37,2,0)," ")</f>
        <v>O230117</v>
      </c>
      <c r="Q297" s="248" t="str">
        <f>IFERROR(VLOOKUP(C297,TD!$B$33:$F$37,3,0)," ")</f>
        <v>4503</v>
      </c>
      <c r="R297" s="248">
        <f>IFERROR(VLOOKUP(C297,TD!$B$33:$F$37,4,0)," ")</f>
        <v>20240255</v>
      </c>
      <c r="S297" s="51" t="s">
        <v>175</v>
      </c>
      <c r="T297" s="248" t="str">
        <f>IFERROR(VLOOKUP(S297,TD!$J$34:$K$44,2,0)," ")</f>
        <v>Servicio de atención a incidentes y emergencias.</v>
      </c>
      <c r="U297" s="249" t="str">
        <f>CONCATENATE(S297,"-",T297)</f>
        <v>04-Servicio de atención a incidentes y emergencias.</v>
      </c>
      <c r="V297" s="51" t="s">
        <v>232</v>
      </c>
      <c r="W297" s="248" t="str">
        <f>IFERROR(VLOOKUP(V297,TD!$N$34:$O$46,2,0)," ")</f>
        <v>Servicio de atención a emergencias y desastres</v>
      </c>
      <c r="X297" s="249" t="str">
        <f>CONCATENATE(V297,"_",W297)</f>
        <v>004_Servicio de atención a emergencias y desastres</v>
      </c>
      <c r="Y297" s="249" t="str">
        <f>CONCATENATE(U297," ",X297)</f>
        <v>04-Servicio de atención a incidentes y emergencias. 004_Servicio de atención a emergencias y desastres</v>
      </c>
      <c r="Z297" s="248" t="str">
        <f>CONCATENATE(P297,Q297,R297,S297,V297)</f>
        <v>O23011745032024025504004</v>
      </c>
      <c r="AA297" s="248" t="str">
        <f>IFERROR(VLOOKUP(Y297,TD!$K$47:$L$65,2,0)," ")</f>
        <v>PM/0131/0104/45030040255</v>
      </c>
      <c r="AB297" s="53" t="s">
        <v>138</v>
      </c>
      <c r="AC297" s="250" t="s">
        <v>204</v>
      </c>
    </row>
    <row r="298" spans="2:29" s="28" customFormat="1" ht="42" x14ac:dyDescent="0.35">
      <c r="B298" s="77">
        <v>20250310</v>
      </c>
      <c r="C298" s="50" t="s">
        <v>209</v>
      </c>
      <c r="D298" s="246" t="s">
        <v>169</v>
      </c>
      <c r="E298" s="51" t="s">
        <v>465</v>
      </c>
      <c r="F298" s="246" t="s">
        <v>831</v>
      </c>
      <c r="G298" s="246" t="s">
        <v>156</v>
      </c>
      <c r="H298" s="93">
        <v>80111600</v>
      </c>
      <c r="I298" s="247">
        <v>2</v>
      </c>
      <c r="J298" s="247">
        <v>7</v>
      </c>
      <c r="K298" s="52">
        <v>0</v>
      </c>
      <c r="L298" s="53">
        <v>22400000</v>
      </c>
      <c r="M298" s="246" t="s">
        <v>464</v>
      </c>
      <c r="N298" s="53" t="s">
        <v>113</v>
      </c>
      <c r="O298" s="51" t="s">
        <v>222</v>
      </c>
      <c r="P298" s="248" t="str">
        <f>IFERROR(VLOOKUP(C298,TD!$B$33:$F$37,2,0)," ")</f>
        <v>O230117</v>
      </c>
      <c r="Q298" s="248" t="str">
        <f>IFERROR(VLOOKUP(C298,TD!$B$33:$F$37,3,0)," ")</f>
        <v>4503</v>
      </c>
      <c r="R298" s="248">
        <f>IFERROR(VLOOKUP(C298,TD!$B$33:$F$37,4,0)," ")</f>
        <v>20240255</v>
      </c>
      <c r="S298" s="51" t="s">
        <v>175</v>
      </c>
      <c r="T298" s="248" t="str">
        <f>IFERROR(VLOOKUP(S298,TD!$J$34:$K$44,2,0)," ")</f>
        <v>Servicio de atención a incidentes y emergencias.</v>
      </c>
      <c r="U298" s="249" t="str">
        <f>CONCATENATE(S298,"-",T298)</f>
        <v>04-Servicio de atención a incidentes y emergencias.</v>
      </c>
      <c r="V298" s="51" t="s">
        <v>232</v>
      </c>
      <c r="W298" s="248" t="str">
        <f>IFERROR(VLOOKUP(V298,TD!$N$34:$O$46,2,0)," ")</f>
        <v>Servicio de atención a emergencias y desastres</v>
      </c>
      <c r="X298" s="249" t="str">
        <f>CONCATENATE(V298,"_",W298)</f>
        <v>004_Servicio de atención a emergencias y desastres</v>
      </c>
      <c r="Y298" s="249" t="str">
        <f>CONCATENATE(U298," ",X298)</f>
        <v>04-Servicio de atención a incidentes y emergencias. 004_Servicio de atención a emergencias y desastres</v>
      </c>
      <c r="Z298" s="248" t="str">
        <f>CONCATENATE(P298,Q298,R298,S298,V298)</f>
        <v>O23011745032024025504004</v>
      </c>
      <c r="AA298" s="248" t="str">
        <f>IFERROR(VLOOKUP(Y298,TD!$K$47:$L$65,2,0)," ")</f>
        <v>PM/0131/0104/45030040255</v>
      </c>
      <c r="AB298" s="53" t="s">
        <v>138</v>
      </c>
      <c r="AC298" s="250" t="s">
        <v>204</v>
      </c>
    </row>
    <row r="299" spans="2:29" s="28" customFormat="1" ht="56" x14ac:dyDescent="0.35">
      <c r="B299" s="77">
        <v>20250311</v>
      </c>
      <c r="C299" s="50" t="s">
        <v>209</v>
      </c>
      <c r="D299" s="246" t="s">
        <v>169</v>
      </c>
      <c r="E299" s="51" t="s">
        <v>465</v>
      </c>
      <c r="F299" s="246" t="s">
        <v>523</v>
      </c>
      <c r="G299" s="246" t="s">
        <v>156</v>
      </c>
      <c r="H299" s="93">
        <v>80111600</v>
      </c>
      <c r="I299" s="247">
        <v>3</v>
      </c>
      <c r="J299" s="247">
        <v>6</v>
      </c>
      <c r="K299" s="52">
        <v>0</v>
      </c>
      <c r="L299" s="53">
        <v>17400000</v>
      </c>
      <c r="M299" s="246" t="s">
        <v>464</v>
      </c>
      <c r="N299" s="53" t="s">
        <v>113</v>
      </c>
      <c r="O299" s="51" t="s">
        <v>222</v>
      </c>
      <c r="P299" s="248" t="str">
        <f>IFERROR(VLOOKUP(C299,TD!$B$33:$F$37,2,0)," ")</f>
        <v>O230117</v>
      </c>
      <c r="Q299" s="248" t="str">
        <f>IFERROR(VLOOKUP(C299,TD!$B$33:$F$37,3,0)," ")</f>
        <v>4503</v>
      </c>
      <c r="R299" s="248">
        <f>IFERROR(VLOOKUP(C299,TD!$B$33:$F$37,4,0)," ")</f>
        <v>20240255</v>
      </c>
      <c r="S299" s="51" t="s">
        <v>175</v>
      </c>
      <c r="T299" s="248" t="str">
        <f>IFERROR(VLOOKUP(S299,TD!$J$34:$K$44,2,0)," ")</f>
        <v>Servicio de atención a incidentes y emergencias.</v>
      </c>
      <c r="U299" s="249" t="str">
        <f>CONCATENATE(S299,"-",T299)</f>
        <v>04-Servicio de atención a incidentes y emergencias.</v>
      </c>
      <c r="V299" s="51" t="s">
        <v>232</v>
      </c>
      <c r="W299" s="248" t="str">
        <f>IFERROR(VLOOKUP(V299,TD!$N$34:$O$46,2,0)," ")</f>
        <v>Servicio de atención a emergencias y desastres</v>
      </c>
      <c r="X299" s="249" t="str">
        <f>CONCATENATE(V299,"_",W299)</f>
        <v>004_Servicio de atención a emergencias y desastres</v>
      </c>
      <c r="Y299" s="249" t="str">
        <f>CONCATENATE(U299," ",X299)</f>
        <v>04-Servicio de atención a incidentes y emergencias. 004_Servicio de atención a emergencias y desastres</v>
      </c>
      <c r="Z299" s="248" t="str">
        <f>CONCATENATE(P299,Q299,R299,S299,V299)</f>
        <v>O23011745032024025504004</v>
      </c>
      <c r="AA299" s="248" t="str">
        <f>IFERROR(VLOOKUP(Y299,TD!$K$47:$L$65,2,0)," ")</f>
        <v>PM/0131/0104/45030040255</v>
      </c>
      <c r="AB299" s="53" t="s">
        <v>138</v>
      </c>
      <c r="AC299" s="250" t="s">
        <v>204</v>
      </c>
    </row>
    <row r="300" spans="2:29" s="28" customFormat="1" ht="56" x14ac:dyDescent="0.35">
      <c r="B300" s="77">
        <v>20250312</v>
      </c>
      <c r="C300" s="50" t="s">
        <v>209</v>
      </c>
      <c r="D300" s="246" t="s">
        <v>169</v>
      </c>
      <c r="E300" s="51" t="s">
        <v>465</v>
      </c>
      <c r="F300" s="246" t="s">
        <v>523</v>
      </c>
      <c r="G300" s="246" t="s">
        <v>156</v>
      </c>
      <c r="H300" s="93">
        <v>80111600</v>
      </c>
      <c r="I300" s="247">
        <v>3</v>
      </c>
      <c r="J300" s="247">
        <v>6</v>
      </c>
      <c r="K300" s="52">
        <v>0</v>
      </c>
      <c r="L300" s="53">
        <v>17400000</v>
      </c>
      <c r="M300" s="246" t="s">
        <v>464</v>
      </c>
      <c r="N300" s="53" t="s">
        <v>113</v>
      </c>
      <c r="O300" s="51" t="s">
        <v>222</v>
      </c>
      <c r="P300" s="248" t="str">
        <f>IFERROR(VLOOKUP(C300,TD!$B$33:$F$37,2,0)," ")</f>
        <v>O230117</v>
      </c>
      <c r="Q300" s="248" t="str">
        <f>IFERROR(VLOOKUP(C300,TD!$B$33:$F$37,3,0)," ")</f>
        <v>4503</v>
      </c>
      <c r="R300" s="248">
        <f>IFERROR(VLOOKUP(C300,TD!$B$33:$F$37,4,0)," ")</f>
        <v>20240255</v>
      </c>
      <c r="S300" s="51" t="s">
        <v>175</v>
      </c>
      <c r="T300" s="248" t="str">
        <f>IFERROR(VLOOKUP(S300,TD!$J$34:$K$44,2,0)," ")</f>
        <v>Servicio de atención a incidentes y emergencias.</v>
      </c>
      <c r="U300" s="249" t="str">
        <f>CONCATENATE(S300,"-",T300)</f>
        <v>04-Servicio de atención a incidentes y emergencias.</v>
      </c>
      <c r="V300" s="51" t="s">
        <v>232</v>
      </c>
      <c r="W300" s="248" t="str">
        <f>IFERROR(VLOOKUP(V300,TD!$N$34:$O$46,2,0)," ")</f>
        <v>Servicio de atención a emergencias y desastres</v>
      </c>
      <c r="X300" s="249" t="str">
        <f>CONCATENATE(V300,"_",W300)</f>
        <v>004_Servicio de atención a emergencias y desastres</v>
      </c>
      <c r="Y300" s="249" t="str">
        <f>CONCATENATE(U300," ",X300)</f>
        <v>04-Servicio de atención a incidentes y emergencias. 004_Servicio de atención a emergencias y desastres</v>
      </c>
      <c r="Z300" s="248" t="str">
        <f>CONCATENATE(P300,Q300,R300,S300,V300)</f>
        <v>O23011745032024025504004</v>
      </c>
      <c r="AA300" s="248" t="str">
        <f>IFERROR(VLOOKUP(Y300,TD!$K$47:$L$65,2,0)," ")</f>
        <v>PM/0131/0104/45030040255</v>
      </c>
      <c r="AB300" s="53" t="s">
        <v>138</v>
      </c>
      <c r="AC300" s="250" t="s">
        <v>204</v>
      </c>
    </row>
    <row r="301" spans="2:29" s="28" customFormat="1" ht="56" x14ac:dyDescent="0.35">
      <c r="B301" s="77">
        <v>20250313</v>
      </c>
      <c r="C301" s="50" t="s">
        <v>209</v>
      </c>
      <c r="D301" s="246" t="s">
        <v>169</v>
      </c>
      <c r="E301" s="51" t="s">
        <v>465</v>
      </c>
      <c r="F301" s="246" t="s">
        <v>523</v>
      </c>
      <c r="G301" s="246" t="s">
        <v>156</v>
      </c>
      <c r="H301" s="93">
        <v>80111600</v>
      </c>
      <c r="I301" s="247">
        <v>3</v>
      </c>
      <c r="J301" s="247">
        <v>6</v>
      </c>
      <c r="K301" s="52">
        <v>0</v>
      </c>
      <c r="L301" s="53">
        <v>17400000</v>
      </c>
      <c r="M301" s="246" t="s">
        <v>464</v>
      </c>
      <c r="N301" s="53" t="s">
        <v>113</v>
      </c>
      <c r="O301" s="51" t="s">
        <v>222</v>
      </c>
      <c r="P301" s="248" t="str">
        <f>IFERROR(VLOOKUP(C301,TD!$B$33:$F$37,2,0)," ")</f>
        <v>O230117</v>
      </c>
      <c r="Q301" s="248" t="str">
        <f>IFERROR(VLOOKUP(C301,TD!$B$33:$F$37,3,0)," ")</f>
        <v>4503</v>
      </c>
      <c r="R301" s="248">
        <f>IFERROR(VLOOKUP(C301,TD!$B$33:$F$37,4,0)," ")</f>
        <v>20240255</v>
      </c>
      <c r="S301" s="51" t="s">
        <v>175</v>
      </c>
      <c r="T301" s="248" t="str">
        <f>IFERROR(VLOOKUP(S301,TD!$J$34:$K$44,2,0)," ")</f>
        <v>Servicio de atención a incidentes y emergencias.</v>
      </c>
      <c r="U301" s="249" t="str">
        <f>CONCATENATE(S301,"-",T301)</f>
        <v>04-Servicio de atención a incidentes y emergencias.</v>
      </c>
      <c r="V301" s="51" t="s">
        <v>232</v>
      </c>
      <c r="W301" s="248" t="str">
        <f>IFERROR(VLOOKUP(V301,TD!$N$34:$O$46,2,0)," ")</f>
        <v>Servicio de atención a emergencias y desastres</v>
      </c>
      <c r="X301" s="249" t="str">
        <f>CONCATENATE(V301,"_",W301)</f>
        <v>004_Servicio de atención a emergencias y desastres</v>
      </c>
      <c r="Y301" s="249" t="str">
        <f>CONCATENATE(U301," ",X301)</f>
        <v>04-Servicio de atención a incidentes y emergencias. 004_Servicio de atención a emergencias y desastres</v>
      </c>
      <c r="Z301" s="248" t="str">
        <f>CONCATENATE(P301,Q301,R301,S301,V301)</f>
        <v>O23011745032024025504004</v>
      </c>
      <c r="AA301" s="248" t="str">
        <f>IFERROR(VLOOKUP(Y301,TD!$K$47:$L$65,2,0)," ")</f>
        <v>PM/0131/0104/45030040255</v>
      </c>
      <c r="AB301" s="53" t="s">
        <v>138</v>
      </c>
      <c r="AC301" s="250" t="s">
        <v>204</v>
      </c>
    </row>
    <row r="302" spans="2:29" s="28" customFormat="1" ht="56" x14ac:dyDescent="0.35">
      <c r="B302" s="77">
        <v>20250314</v>
      </c>
      <c r="C302" s="50" t="s">
        <v>209</v>
      </c>
      <c r="D302" s="246" t="s">
        <v>169</v>
      </c>
      <c r="E302" s="51" t="s">
        <v>465</v>
      </c>
      <c r="F302" s="246" t="s">
        <v>523</v>
      </c>
      <c r="G302" s="246" t="s">
        <v>156</v>
      </c>
      <c r="H302" s="93">
        <v>80111600</v>
      </c>
      <c r="I302" s="247">
        <v>3</v>
      </c>
      <c r="J302" s="247">
        <v>6</v>
      </c>
      <c r="K302" s="52">
        <v>0</v>
      </c>
      <c r="L302" s="53">
        <v>17400000</v>
      </c>
      <c r="M302" s="246" t="s">
        <v>464</v>
      </c>
      <c r="N302" s="53" t="s">
        <v>113</v>
      </c>
      <c r="O302" s="51" t="s">
        <v>222</v>
      </c>
      <c r="P302" s="248" t="str">
        <f>IFERROR(VLOOKUP(C302,TD!$B$33:$F$37,2,0)," ")</f>
        <v>O230117</v>
      </c>
      <c r="Q302" s="248" t="str">
        <f>IFERROR(VLOOKUP(C302,TD!$B$33:$F$37,3,0)," ")</f>
        <v>4503</v>
      </c>
      <c r="R302" s="248">
        <f>IFERROR(VLOOKUP(C302,TD!$B$33:$F$37,4,0)," ")</f>
        <v>20240255</v>
      </c>
      <c r="S302" s="51" t="s">
        <v>175</v>
      </c>
      <c r="T302" s="248" t="str">
        <f>IFERROR(VLOOKUP(S302,TD!$J$34:$K$44,2,0)," ")</f>
        <v>Servicio de atención a incidentes y emergencias.</v>
      </c>
      <c r="U302" s="249" t="str">
        <f>CONCATENATE(S302,"-",T302)</f>
        <v>04-Servicio de atención a incidentes y emergencias.</v>
      </c>
      <c r="V302" s="51" t="s">
        <v>232</v>
      </c>
      <c r="W302" s="248" t="str">
        <f>IFERROR(VLOOKUP(V302,TD!$N$34:$O$46,2,0)," ")</f>
        <v>Servicio de atención a emergencias y desastres</v>
      </c>
      <c r="X302" s="249" t="str">
        <f>CONCATENATE(V302,"_",W302)</f>
        <v>004_Servicio de atención a emergencias y desastres</v>
      </c>
      <c r="Y302" s="249" t="str">
        <f>CONCATENATE(U302," ",X302)</f>
        <v>04-Servicio de atención a incidentes y emergencias. 004_Servicio de atención a emergencias y desastres</v>
      </c>
      <c r="Z302" s="248" t="str">
        <f>CONCATENATE(P302,Q302,R302,S302,V302)</f>
        <v>O23011745032024025504004</v>
      </c>
      <c r="AA302" s="248" t="str">
        <f>IFERROR(VLOOKUP(Y302,TD!$K$47:$L$65,2,0)," ")</f>
        <v>PM/0131/0104/45030040255</v>
      </c>
      <c r="AB302" s="53" t="s">
        <v>138</v>
      </c>
      <c r="AC302" s="250" t="s">
        <v>204</v>
      </c>
    </row>
    <row r="303" spans="2:29" s="28" customFormat="1" ht="56" x14ac:dyDescent="0.35">
      <c r="B303" s="77">
        <v>20250315</v>
      </c>
      <c r="C303" s="50" t="s">
        <v>209</v>
      </c>
      <c r="D303" s="246" t="s">
        <v>169</v>
      </c>
      <c r="E303" s="51" t="s">
        <v>465</v>
      </c>
      <c r="F303" s="246" t="s">
        <v>523</v>
      </c>
      <c r="G303" s="246" t="s">
        <v>156</v>
      </c>
      <c r="H303" s="93">
        <v>80111600</v>
      </c>
      <c r="I303" s="247">
        <v>3</v>
      </c>
      <c r="J303" s="247">
        <v>6</v>
      </c>
      <c r="K303" s="52">
        <v>0</v>
      </c>
      <c r="L303" s="53">
        <v>17400000</v>
      </c>
      <c r="M303" s="246" t="s">
        <v>464</v>
      </c>
      <c r="N303" s="53" t="s">
        <v>113</v>
      </c>
      <c r="O303" s="51" t="s">
        <v>222</v>
      </c>
      <c r="P303" s="248" t="str">
        <f>IFERROR(VLOOKUP(C303,TD!$B$33:$F$37,2,0)," ")</f>
        <v>O230117</v>
      </c>
      <c r="Q303" s="248" t="str">
        <f>IFERROR(VLOOKUP(C303,TD!$B$33:$F$37,3,0)," ")</f>
        <v>4503</v>
      </c>
      <c r="R303" s="248">
        <f>IFERROR(VLOOKUP(C303,TD!$B$33:$F$37,4,0)," ")</f>
        <v>20240255</v>
      </c>
      <c r="S303" s="51" t="s">
        <v>175</v>
      </c>
      <c r="T303" s="248" t="str">
        <f>IFERROR(VLOOKUP(S303,TD!$J$34:$K$44,2,0)," ")</f>
        <v>Servicio de atención a incidentes y emergencias.</v>
      </c>
      <c r="U303" s="249" t="str">
        <f>CONCATENATE(S303,"-",T303)</f>
        <v>04-Servicio de atención a incidentes y emergencias.</v>
      </c>
      <c r="V303" s="51" t="s">
        <v>232</v>
      </c>
      <c r="W303" s="248" t="str">
        <f>IFERROR(VLOOKUP(V303,TD!$N$34:$O$46,2,0)," ")</f>
        <v>Servicio de atención a emergencias y desastres</v>
      </c>
      <c r="X303" s="249" t="str">
        <f>CONCATENATE(V303,"_",W303)</f>
        <v>004_Servicio de atención a emergencias y desastres</v>
      </c>
      <c r="Y303" s="249" t="str">
        <f>CONCATENATE(U303," ",X303)</f>
        <v>04-Servicio de atención a incidentes y emergencias. 004_Servicio de atención a emergencias y desastres</v>
      </c>
      <c r="Z303" s="248" t="str">
        <f>CONCATENATE(P303,Q303,R303,S303,V303)</f>
        <v>O23011745032024025504004</v>
      </c>
      <c r="AA303" s="248" t="str">
        <f>IFERROR(VLOOKUP(Y303,TD!$K$47:$L$65,2,0)," ")</f>
        <v>PM/0131/0104/45030040255</v>
      </c>
      <c r="AB303" s="53" t="s">
        <v>138</v>
      </c>
      <c r="AC303" s="250" t="s">
        <v>204</v>
      </c>
    </row>
    <row r="304" spans="2:29" s="28" customFormat="1" ht="56" x14ac:dyDescent="0.35">
      <c r="B304" s="77">
        <v>20250316</v>
      </c>
      <c r="C304" s="50" t="s">
        <v>209</v>
      </c>
      <c r="D304" s="246" t="s">
        <v>169</v>
      </c>
      <c r="E304" s="51" t="s">
        <v>465</v>
      </c>
      <c r="F304" s="246" t="s">
        <v>523</v>
      </c>
      <c r="G304" s="246" t="s">
        <v>156</v>
      </c>
      <c r="H304" s="93">
        <v>80111600</v>
      </c>
      <c r="I304" s="247">
        <v>3</v>
      </c>
      <c r="J304" s="247">
        <v>6</v>
      </c>
      <c r="K304" s="52">
        <v>0</v>
      </c>
      <c r="L304" s="53">
        <v>17400000</v>
      </c>
      <c r="M304" s="246" t="s">
        <v>464</v>
      </c>
      <c r="N304" s="53" t="s">
        <v>113</v>
      </c>
      <c r="O304" s="51" t="s">
        <v>222</v>
      </c>
      <c r="P304" s="248" t="str">
        <f>IFERROR(VLOOKUP(C304,TD!$B$33:$F$37,2,0)," ")</f>
        <v>O230117</v>
      </c>
      <c r="Q304" s="248" t="str">
        <f>IFERROR(VLOOKUP(C304,TD!$B$33:$F$37,3,0)," ")</f>
        <v>4503</v>
      </c>
      <c r="R304" s="248">
        <f>IFERROR(VLOOKUP(C304,TD!$B$33:$F$37,4,0)," ")</f>
        <v>20240255</v>
      </c>
      <c r="S304" s="51" t="s">
        <v>175</v>
      </c>
      <c r="T304" s="248" t="str">
        <f>IFERROR(VLOOKUP(S304,TD!$J$34:$K$44,2,0)," ")</f>
        <v>Servicio de atención a incidentes y emergencias.</v>
      </c>
      <c r="U304" s="249" t="str">
        <f>CONCATENATE(S304,"-",T304)</f>
        <v>04-Servicio de atención a incidentes y emergencias.</v>
      </c>
      <c r="V304" s="51" t="s">
        <v>232</v>
      </c>
      <c r="W304" s="248" t="str">
        <f>IFERROR(VLOOKUP(V304,TD!$N$34:$O$46,2,0)," ")</f>
        <v>Servicio de atención a emergencias y desastres</v>
      </c>
      <c r="X304" s="249" t="str">
        <f>CONCATENATE(V304,"_",W304)</f>
        <v>004_Servicio de atención a emergencias y desastres</v>
      </c>
      <c r="Y304" s="249" t="str">
        <f>CONCATENATE(U304," ",X304)</f>
        <v>04-Servicio de atención a incidentes y emergencias. 004_Servicio de atención a emergencias y desastres</v>
      </c>
      <c r="Z304" s="248" t="str">
        <f>CONCATENATE(P304,Q304,R304,S304,V304)</f>
        <v>O23011745032024025504004</v>
      </c>
      <c r="AA304" s="248" t="str">
        <f>IFERROR(VLOOKUP(Y304,TD!$K$47:$L$65,2,0)," ")</f>
        <v>PM/0131/0104/45030040255</v>
      </c>
      <c r="AB304" s="53" t="s">
        <v>138</v>
      </c>
      <c r="AC304" s="250" t="s">
        <v>204</v>
      </c>
    </row>
    <row r="305" spans="2:29" s="28" customFormat="1" ht="42" x14ac:dyDescent="0.35">
      <c r="B305" s="77">
        <v>20250317</v>
      </c>
      <c r="C305" s="50" t="s">
        <v>209</v>
      </c>
      <c r="D305" s="246" t="s">
        <v>169</v>
      </c>
      <c r="E305" s="51" t="s">
        <v>465</v>
      </c>
      <c r="F305" s="246" t="s">
        <v>524</v>
      </c>
      <c r="G305" s="246" t="s">
        <v>155</v>
      </c>
      <c r="H305" s="93">
        <v>80111600</v>
      </c>
      <c r="I305" s="247">
        <v>2</v>
      </c>
      <c r="J305" s="247">
        <v>10</v>
      </c>
      <c r="K305" s="52">
        <v>0</v>
      </c>
      <c r="L305" s="53">
        <v>55000000</v>
      </c>
      <c r="M305" s="246" t="s">
        <v>464</v>
      </c>
      <c r="N305" s="53" t="s">
        <v>113</v>
      </c>
      <c r="O305" s="51" t="s">
        <v>222</v>
      </c>
      <c r="P305" s="248" t="str">
        <f>IFERROR(VLOOKUP(C305,TD!$B$33:$F$37,2,0)," ")</f>
        <v>O230117</v>
      </c>
      <c r="Q305" s="248" t="str">
        <f>IFERROR(VLOOKUP(C305,TD!$B$33:$F$37,3,0)," ")</f>
        <v>4503</v>
      </c>
      <c r="R305" s="248">
        <f>IFERROR(VLOOKUP(C305,TD!$B$33:$F$37,4,0)," ")</f>
        <v>20240255</v>
      </c>
      <c r="S305" s="51" t="s">
        <v>175</v>
      </c>
      <c r="T305" s="248" t="str">
        <f>IFERROR(VLOOKUP(S305,TD!$J$34:$K$44,2,0)," ")</f>
        <v>Servicio de atención a incidentes y emergencias.</v>
      </c>
      <c r="U305" s="249" t="str">
        <f>CONCATENATE(S305,"-",T305)</f>
        <v>04-Servicio de atención a incidentes y emergencias.</v>
      </c>
      <c r="V305" s="51" t="s">
        <v>232</v>
      </c>
      <c r="W305" s="248" t="str">
        <f>IFERROR(VLOOKUP(V305,TD!$N$34:$O$46,2,0)," ")</f>
        <v>Servicio de atención a emergencias y desastres</v>
      </c>
      <c r="X305" s="249" t="str">
        <f>CONCATENATE(V305,"_",W305)</f>
        <v>004_Servicio de atención a emergencias y desastres</v>
      </c>
      <c r="Y305" s="249" t="str">
        <f>CONCATENATE(U305," ",X305)</f>
        <v>04-Servicio de atención a incidentes y emergencias. 004_Servicio de atención a emergencias y desastres</v>
      </c>
      <c r="Z305" s="248" t="str">
        <f>CONCATENATE(P305,Q305,R305,S305,V305)</f>
        <v>O23011745032024025504004</v>
      </c>
      <c r="AA305" s="248" t="str">
        <f>IFERROR(VLOOKUP(Y305,TD!$K$47:$L$65,2,0)," ")</f>
        <v>PM/0131/0104/45030040255</v>
      </c>
      <c r="AB305" s="53" t="s">
        <v>138</v>
      </c>
      <c r="AC305" s="250" t="s">
        <v>204</v>
      </c>
    </row>
    <row r="306" spans="2:29" s="28" customFormat="1" ht="56" x14ac:dyDescent="0.35">
      <c r="B306" s="77">
        <v>20250318</v>
      </c>
      <c r="C306" s="50" t="s">
        <v>209</v>
      </c>
      <c r="D306" s="246" t="s">
        <v>169</v>
      </c>
      <c r="E306" s="51" t="s">
        <v>465</v>
      </c>
      <c r="F306" s="246" t="s">
        <v>525</v>
      </c>
      <c r="G306" s="246" t="s">
        <v>156</v>
      </c>
      <c r="H306" s="93">
        <v>80111600</v>
      </c>
      <c r="I306" s="247">
        <v>2</v>
      </c>
      <c r="J306" s="247">
        <v>10</v>
      </c>
      <c r="K306" s="52">
        <v>0</v>
      </c>
      <c r="L306" s="53">
        <v>34066525</v>
      </c>
      <c r="M306" s="246" t="s">
        <v>464</v>
      </c>
      <c r="N306" s="53" t="s">
        <v>113</v>
      </c>
      <c r="O306" s="51" t="s">
        <v>222</v>
      </c>
      <c r="P306" s="248" t="str">
        <f>IFERROR(VLOOKUP(C306,TD!$B$33:$F$37,2,0)," ")</f>
        <v>O230117</v>
      </c>
      <c r="Q306" s="248" t="str">
        <f>IFERROR(VLOOKUP(C306,TD!$B$33:$F$37,3,0)," ")</f>
        <v>4503</v>
      </c>
      <c r="R306" s="248">
        <f>IFERROR(VLOOKUP(C306,TD!$B$33:$F$37,4,0)," ")</f>
        <v>20240255</v>
      </c>
      <c r="S306" s="51" t="s">
        <v>175</v>
      </c>
      <c r="T306" s="248" t="str">
        <f>IFERROR(VLOOKUP(S306,TD!$J$34:$K$44,2,0)," ")</f>
        <v>Servicio de atención a incidentes y emergencias.</v>
      </c>
      <c r="U306" s="249" t="str">
        <f>CONCATENATE(S306,"-",T306)</f>
        <v>04-Servicio de atención a incidentes y emergencias.</v>
      </c>
      <c r="V306" s="51" t="s">
        <v>232</v>
      </c>
      <c r="W306" s="248" t="str">
        <f>IFERROR(VLOOKUP(V306,TD!$N$34:$O$46,2,0)," ")</f>
        <v>Servicio de atención a emergencias y desastres</v>
      </c>
      <c r="X306" s="249" t="str">
        <f>CONCATENATE(V306,"_",W306)</f>
        <v>004_Servicio de atención a emergencias y desastres</v>
      </c>
      <c r="Y306" s="249" t="str">
        <f>CONCATENATE(U306," ",X306)</f>
        <v>04-Servicio de atención a incidentes y emergencias. 004_Servicio de atención a emergencias y desastres</v>
      </c>
      <c r="Z306" s="248" t="str">
        <f>CONCATENATE(P306,Q306,R306,S306,V306)</f>
        <v>O23011745032024025504004</v>
      </c>
      <c r="AA306" s="248" t="str">
        <f>IFERROR(VLOOKUP(Y306,TD!$K$47:$L$65,2,0)," ")</f>
        <v>PM/0131/0104/45030040255</v>
      </c>
      <c r="AB306" s="53" t="s">
        <v>138</v>
      </c>
      <c r="AC306" s="250" t="s">
        <v>204</v>
      </c>
    </row>
    <row r="307" spans="2:29" s="28" customFormat="1" ht="56" x14ac:dyDescent="0.35">
      <c r="B307" s="77">
        <v>20250319</v>
      </c>
      <c r="C307" s="50" t="s">
        <v>209</v>
      </c>
      <c r="D307" s="246" t="s">
        <v>169</v>
      </c>
      <c r="E307" s="51" t="s">
        <v>465</v>
      </c>
      <c r="F307" s="246" t="s">
        <v>524</v>
      </c>
      <c r="G307" s="246" t="s">
        <v>155</v>
      </c>
      <c r="H307" s="93">
        <v>80111600</v>
      </c>
      <c r="I307" s="247">
        <v>2</v>
      </c>
      <c r="J307" s="247">
        <v>10</v>
      </c>
      <c r="K307" s="52">
        <v>0</v>
      </c>
      <c r="L307" s="53">
        <v>55000000</v>
      </c>
      <c r="M307" s="246" t="s">
        <v>464</v>
      </c>
      <c r="N307" s="53" t="s">
        <v>113</v>
      </c>
      <c r="O307" s="51" t="s">
        <v>222</v>
      </c>
      <c r="P307" s="248" t="str">
        <f>IFERROR(VLOOKUP(C307,TD!$B$33:$F$37,2,0)," ")</f>
        <v>O230117</v>
      </c>
      <c r="Q307" s="248" t="str">
        <f>IFERROR(VLOOKUP(C307,TD!$B$33:$F$37,3,0)," ")</f>
        <v>4503</v>
      </c>
      <c r="R307" s="248">
        <f>IFERROR(VLOOKUP(C307,TD!$B$33:$F$37,4,0)," ")</f>
        <v>20240255</v>
      </c>
      <c r="S307" s="51" t="s">
        <v>175</v>
      </c>
      <c r="T307" s="248" t="str">
        <f>IFERROR(VLOOKUP(S307,TD!$J$34:$K$44,2,0)," ")</f>
        <v>Servicio de atención a incidentes y emergencias.</v>
      </c>
      <c r="U307" s="249" t="str">
        <f>CONCATENATE(S307,"-",T307)</f>
        <v>04-Servicio de atención a incidentes y emergencias.</v>
      </c>
      <c r="V307" s="51" t="s">
        <v>232</v>
      </c>
      <c r="W307" s="248" t="str">
        <f>IFERROR(VLOOKUP(V307,TD!$N$34:$O$46,2,0)," ")</f>
        <v>Servicio de atención a emergencias y desastres</v>
      </c>
      <c r="X307" s="249" t="str">
        <f>CONCATENATE(V307,"_",W307)</f>
        <v>004_Servicio de atención a emergencias y desastres</v>
      </c>
      <c r="Y307" s="249" t="str">
        <f>CONCATENATE(U307," ",X307)</f>
        <v>04-Servicio de atención a incidentes y emergencias. 004_Servicio de atención a emergencias y desastres</v>
      </c>
      <c r="Z307" s="248" t="str">
        <f>CONCATENATE(P307,Q307,R307,S307,V307)</f>
        <v>O23011745032024025504004</v>
      </c>
      <c r="AA307" s="248" t="str">
        <f>IFERROR(VLOOKUP(Y307,TD!$K$47:$L$65,2,0)," ")</f>
        <v>PM/0131/0104/45030040255</v>
      </c>
      <c r="AB307" s="53" t="s">
        <v>138</v>
      </c>
      <c r="AC307" s="250" t="s">
        <v>204</v>
      </c>
    </row>
    <row r="308" spans="2:29" s="28" customFormat="1" ht="56" x14ac:dyDescent="0.35">
      <c r="B308" s="77">
        <v>20250320</v>
      </c>
      <c r="C308" s="50" t="s">
        <v>209</v>
      </c>
      <c r="D308" s="246" t="s">
        <v>169</v>
      </c>
      <c r="E308" s="51" t="s">
        <v>465</v>
      </c>
      <c r="F308" s="246" t="s">
        <v>526</v>
      </c>
      <c r="G308" s="246" t="s">
        <v>156</v>
      </c>
      <c r="H308" s="93">
        <v>80111600</v>
      </c>
      <c r="I308" s="247">
        <v>2</v>
      </c>
      <c r="J308" s="247">
        <v>9</v>
      </c>
      <c r="K308" s="52">
        <v>15</v>
      </c>
      <c r="L308" s="53">
        <v>30400000</v>
      </c>
      <c r="M308" s="246" t="s">
        <v>464</v>
      </c>
      <c r="N308" s="53" t="s">
        <v>113</v>
      </c>
      <c r="O308" s="51" t="s">
        <v>222</v>
      </c>
      <c r="P308" s="248" t="str">
        <f>IFERROR(VLOOKUP(C308,TD!$B$33:$F$37,2,0)," ")</f>
        <v>O230117</v>
      </c>
      <c r="Q308" s="248" t="str">
        <f>IFERROR(VLOOKUP(C308,TD!$B$33:$F$37,3,0)," ")</f>
        <v>4503</v>
      </c>
      <c r="R308" s="248">
        <f>IFERROR(VLOOKUP(C308,TD!$B$33:$F$37,4,0)," ")</f>
        <v>20240255</v>
      </c>
      <c r="S308" s="51" t="s">
        <v>175</v>
      </c>
      <c r="T308" s="248" t="str">
        <f>IFERROR(VLOOKUP(S308,TD!$J$34:$K$44,2,0)," ")</f>
        <v>Servicio de atención a incidentes y emergencias.</v>
      </c>
      <c r="U308" s="249" t="str">
        <f>CONCATENATE(S308,"-",T308)</f>
        <v>04-Servicio de atención a incidentes y emergencias.</v>
      </c>
      <c r="V308" s="51" t="s">
        <v>232</v>
      </c>
      <c r="W308" s="248" t="str">
        <f>IFERROR(VLOOKUP(V308,TD!$N$34:$O$46,2,0)," ")</f>
        <v>Servicio de atención a emergencias y desastres</v>
      </c>
      <c r="X308" s="249" t="str">
        <f>CONCATENATE(V308,"_",W308)</f>
        <v>004_Servicio de atención a emergencias y desastres</v>
      </c>
      <c r="Y308" s="249" t="str">
        <f>CONCATENATE(U308," ",X308)</f>
        <v>04-Servicio de atención a incidentes y emergencias. 004_Servicio de atención a emergencias y desastres</v>
      </c>
      <c r="Z308" s="248" t="str">
        <f>CONCATENATE(P308,Q308,R308,S308,V308)</f>
        <v>O23011745032024025504004</v>
      </c>
      <c r="AA308" s="248" t="str">
        <f>IFERROR(VLOOKUP(Y308,TD!$K$47:$L$65,2,0)," ")</f>
        <v>PM/0131/0104/45030040255</v>
      </c>
      <c r="AB308" s="53" t="s">
        <v>138</v>
      </c>
      <c r="AC308" s="250" t="s">
        <v>204</v>
      </c>
    </row>
    <row r="309" spans="2:29" s="28" customFormat="1" ht="42" x14ac:dyDescent="0.35">
      <c r="B309" s="77">
        <v>20250322</v>
      </c>
      <c r="C309" s="50" t="s">
        <v>209</v>
      </c>
      <c r="D309" s="246" t="s">
        <v>169</v>
      </c>
      <c r="E309" s="51" t="s">
        <v>465</v>
      </c>
      <c r="F309" s="246" t="s">
        <v>527</v>
      </c>
      <c r="G309" s="246" t="s">
        <v>155</v>
      </c>
      <c r="H309" s="93">
        <v>80111600</v>
      </c>
      <c r="I309" s="247">
        <v>2</v>
      </c>
      <c r="J309" s="247">
        <v>11</v>
      </c>
      <c r="K309" s="52">
        <v>0</v>
      </c>
      <c r="L309" s="53">
        <v>104500000</v>
      </c>
      <c r="M309" s="246" t="s">
        <v>464</v>
      </c>
      <c r="N309" s="53" t="s">
        <v>113</v>
      </c>
      <c r="O309" s="51" t="s">
        <v>222</v>
      </c>
      <c r="P309" s="248" t="str">
        <f>IFERROR(VLOOKUP(C309,TD!$B$33:$F$37,2,0)," ")</f>
        <v>O230117</v>
      </c>
      <c r="Q309" s="248" t="str">
        <f>IFERROR(VLOOKUP(C309,TD!$B$33:$F$37,3,0)," ")</f>
        <v>4503</v>
      </c>
      <c r="R309" s="248">
        <f>IFERROR(VLOOKUP(C309,TD!$B$33:$F$37,4,0)," ")</f>
        <v>20240255</v>
      </c>
      <c r="S309" s="51" t="s">
        <v>175</v>
      </c>
      <c r="T309" s="248" t="str">
        <f>IFERROR(VLOOKUP(S309,TD!$J$34:$K$44,2,0)," ")</f>
        <v>Servicio de atención a incidentes y emergencias.</v>
      </c>
      <c r="U309" s="249" t="str">
        <f>CONCATENATE(S309,"-",T309)</f>
        <v>04-Servicio de atención a incidentes y emergencias.</v>
      </c>
      <c r="V309" s="51" t="s">
        <v>232</v>
      </c>
      <c r="W309" s="248" t="str">
        <f>IFERROR(VLOOKUP(V309,TD!$N$34:$O$46,2,0)," ")</f>
        <v>Servicio de atención a emergencias y desastres</v>
      </c>
      <c r="X309" s="249" t="str">
        <f>CONCATENATE(V309,"_",W309)</f>
        <v>004_Servicio de atención a emergencias y desastres</v>
      </c>
      <c r="Y309" s="249" t="str">
        <f>CONCATENATE(U309," ",X309)</f>
        <v>04-Servicio de atención a incidentes y emergencias. 004_Servicio de atención a emergencias y desastres</v>
      </c>
      <c r="Z309" s="248" t="str">
        <f>CONCATENATE(P309,Q309,R309,S309,V309)</f>
        <v>O23011745032024025504004</v>
      </c>
      <c r="AA309" s="248" t="str">
        <f>IFERROR(VLOOKUP(Y309,TD!$K$47:$L$65,2,0)," ")</f>
        <v>PM/0131/0104/45030040255</v>
      </c>
      <c r="AB309" s="53" t="s">
        <v>138</v>
      </c>
      <c r="AC309" s="250" t="s">
        <v>204</v>
      </c>
    </row>
    <row r="310" spans="2:29" s="28" customFormat="1" ht="56" x14ac:dyDescent="0.35">
      <c r="B310" s="77">
        <v>20250323</v>
      </c>
      <c r="C310" s="50" t="s">
        <v>209</v>
      </c>
      <c r="D310" s="246" t="s">
        <v>169</v>
      </c>
      <c r="E310" s="51" t="s">
        <v>465</v>
      </c>
      <c r="F310" s="246" t="s">
        <v>528</v>
      </c>
      <c r="G310" s="246" t="s">
        <v>155</v>
      </c>
      <c r="H310" s="93">
        <v>80111600</v>
      </c>
      <c r="I310" s="247">
        <v>2</v>
      </c>
      <c r="J310" s="247">
        <v>11</v>
      </c>
      <c r="K310" s="52">
        <v>0</v>
      </c>
      <c r="L310" s="53">
        <v>88000000</v>
      </c>
      <c r="M310" s="246" t="s">
        <v>464</v>
      </c>
      <c r="N310" s="53" t="s">
        <v>113</v>
      </c>
      <c r="O310" s="51" t="s">
        <v>222</v>
      </c>
      <c r="P310" s="248" t="str">
        <f>IFERROR(VLOOKUP(C310,TD!$B$33:$F$37,2,0)," ")</f>
        <v>O230117</v>
      </c>
      <c r="Q310" s="248" t="str">
        <f>IFERROR(VLOOKUP(C310,TD!$B$33:$F$37,3,0)," ")</f>
        <v>4503</v>
      </c>
      <c r="R310" s="248">
        <f>IFERROR(VLOOKUP(C310,TD!$B$33:$F$37,4,0)," ")</f>
        <v>20240255</v>
      </c>
      <c r="S310" s="51" t="s">
        <v>175</v>
      </c>
      <c r="T310" s="248" t="str">
        <f>IFERROR(VLOOKUP(S310,TD!$J$34:$K$44,2,0)," ")</f>
        <v>Servicio de atención a incidentes y emergencias.</v>
      </c>
      <c r="U310" s="249" t="str">
        <f>CONCATENATE(S310,"-",T310)</f>
        <v>04-Servicio de atención a incidentes y emergencias.</v>
      </c>
      <c r="V310" s="51" t="s">
        <v>232</v>
      </c>
      <c r="W310" s="248" t="str">
        <f>IFERROR(VLOOKUP(V310,TD!$N$34:$O$46,2,0)," ")</f>
        <v>Servicio de atención a emergencias y desastres</v>
      </c>
      <c r="X310" s="249" t="str">
        <f>CONCATENATE(V310,"_",W310)</f>
        <v>004_Servicio de atención a emergencias y desastres</v>
      </c>
      <c r="Y310" s="249" t="str">
        <f>CONCATENATE(U310," ",X310)</f>
        <v>04-Servicio de atención a incidentes y emergencias. 004_Servicio de atención a emergencias y desastres</v>
      </c>
      <c r="Z310" s="248" t="str">
        <f>CONCATENATE(P310,Q310,R310,S310,V310)</f>
        <v>O23011745032024025504004</v>
      </c>
      <c r="AA310" s="248" t="str">
        <f>IFERROR(VLOOKUP(Y310,TD!$K$47:$L$65,2,0)," ")</f>
        <v>PM/0131/0104/45030040255</v>
      </c>
      <c r="AB310" s="53" t="s">
        <v>138</v>
      </c>
      <c r="AC310" s="250" t="s">
        <v>204</v>
      </c>
    </row>
    <row r="311" spans="2:29" s="28" customFormat="1" ht="56" x14ac:dyDescent="0.35">
      <c r="B311" s="77">
        <v>20250324</v>
      </c>
      <c r="C311" s="50" t="s">
        <v>209</v>
      </c>
      <c r="D311" s="246" t="s">
        <v>169</v>
      </c>
      <c r="E311" s="51" t="s">
        <v>465</v>
      </c>
      <c r="F311" s="246" t="s">
        <v>529</v>
      </c>
      <c r="G311" s="246" t="s">
        <v>155</v>
      </c>
      <c r="H311" s="93">
        <v>80111600</v>
      </c>
      <c r="I311" s="247">
        <v>2</v>
      </c>
      <c r="J311" s="247">
        <v>10</v>
      </c>
      <c r="K311" s="52">
        <v>0</v>
      </c>
      <c r="L311" s="53">
        <v>70000000</v>
      </c>
      <c r="M311" s="246" t="s">
        <v>464</v>
      </c>
      <c r="N311" s="53" t="s">
        <v>113</v>
      </c>
      <c r="O311" s="51" t="s">
        <v>222</v>
      </c>
      <c r="P311" s="248" t="str">
        <f>IFERROR(VLOOKUP(C311,TD!$B$33:$F$37,2,0)," ")</f>
        <v>O230117</v>
      </c>
      <c r="Q311" s="248" t="str">
        <f>IFERROR(VLOOKUP(C311,TD!$B$33:$F$37,3,0)," ")</f>
        <v>4503</v>
      </c>
      <c r="R311" s="248">
        <f>IFERROR(VLOOKUP(C311,TD!$B$33:$F$37,4,0)," ")</f>
        <v>20240255</v>
      </c>
      <c r="S311" s="51" t="s">
        <v>175</v>
      </c>
      <c r="T311" s="248" t="str">
        <f>IFERROR(VLOOKUP(S311,TD!$J$34:$K$44,2,0)," ")</f>
        <v>Servicio de atención a incidentes y emergencias.</v>
      </c>
      <c r="U311" s="249" t="str">
        <f>CONCATENATE(S311,"-",T311)</f>
        <v>04-Servicio de atención a incidentes y emergencias.</v>
      </c>
      <c r="V311" s="51" t="s">
        <v>232</v>
      </c>
      <c r="W311" s="248" t="str">
        <f>IFERROR(VLOOKUP(V311,TD!$N$34:$O$46,2,0)," ")</f>
        <v>Servicio de atención a emergencias y desastres</v>
      </c>
      <c r="X311" s="249" t="str">
        <f>CONCATENATE(V311,"_",W311)</f>
        <v>004_Servicio de atención a emergencias y desastres</v>
      </c>
      <c r="Y311" s="249" t="str">
        <f>CONCATENATE(U311," ",X311)</f>
        <v>04-Servicio de atención a incidentes y emergencias. 004_Servicio de atención a emergencias y desastres</v>
      </c>
      <c r="Z311" s="248" t="str">
        <f>CONCATENATE(P311,Q311,R311,S311,V311)</f>
        <v>O23011745032024025504004</v>
      </c>
      <c r="AA311" s="248" t="str">
        <f>IFERROR(VLOOKUP(Y311,TD!$K$47:$L$65,2,0)," ")</f>
        <v>PM/0131/0104/45030040255</v>
      </c>
      <c r="AB311" s="53" t="s">
        <v>138</v>
      </c>
      <c r="AC311" s="250" t="s">
        <v>204</v>
      </c>
    </row>
    <row r="312" spans="2:29" s="28" customFormat="1" ht="56" x14ac:dyDescent="0.35">
      <c r="B312" s="77">
        <v>20250325</v>
      </c>
      <c r="C312" s="50" t="s">
        <v>209</v>
      </c>
      <c r="D312" s="246" t="s">
        <v>169</v>
      </c>
      <c r="E312" s="51" t="s">
        <v>465</v>
      </c>
      <c r="F312" s="246" t="s">
        <v>530</v>
      </c>
      <c r="G312" s="246" t="s">
        <v>155</v>
      </c>
      <c r="H312" s="93">
        <v>80111600</v>
      </c>
      <c r="I312" s="247">
        <v>2</v>
      </c>
      <c r="J312" s="247">
        <v>10</v>
      </c>
      <c r="K312" s="52">
        <v>0</v>
      </c>
      <c r="L312" s="53">
        <v>70000000</v>
      </c>
      <c r="M312" s="246" t="s">
        <v>464</v>
      </c>
      <c r="N312" s="53" t="s">
        <v>113</v>
      </c>
      <c r="O312" s="51" t="s">
        <v>222</v>
      </c>
      <c r="P312" s="248" t="str">
        <f>IFERROR(VLOOKUP(C312,TD!$B$33:$F$37,2,0)," ")</f>
        <v>O230117</v>
      </c>
      <c r="Q312" s="248" t="str">
        <f>IFERROR(VLOOKUP(C312,TD!$B$33:$F$37,3,0)," ")</f>
        <v>4503</v>
      </c>
      <c r="R312" s="248">
        <f>IFERROR(VLOOKUP(C312,TD!$B$33:$F$37,4,0)," ")</f>
        <v>20240255</v>
      </c>
      <c r="S312" s="51" t="s">
        <v>175</v>
      </c>
      <c r="T312" s="248" t="str">
        <f>IFERROR(VLOOKUP(S312,TD!$J$34:$K$44,2,0)," ")</f>
        <v>Servicio de atención a incidentes y emergencias.</v>
      </c>
      <c r="U312" s="249" t="str">
        <f>CONCATENATE(S312,"-",T312)</f>
        <v>04-Servicio de atención a incidentes y emergencias.</v>
      </c>
      <c r="V312" s="51" t="s">
        <v>232</v>
      </c>
      <c r="W312" s="248" t="str">
        <f>IFERROR(VLOOKUP(V312,TD!$N$34:$O$46,2,0)," ")</f>
        <v>Servicio de atención a emergencias y desastres</v>
      </c>
      <c r="X312" s="249" t="str">
        <f>CONCATENATE(V312,"_",W312)</f>
        <v>004_Servicio de atención a emergencias y desastres</v>
      </c>
      <c r="Y312" s="249" t="str">
        <f>CONCATENATE(U312," ",X312)</f>
        <v>04-Servicio de atención a incidentes y emergencias. 004_Servicio de atención a emergencias y desastres</v>
      </c>
      <c r="Z312" s="248" t="str">
        <f>CONCATENATE(P312,Q312,R312,S312,V312)</f>
        <v>O23011745032024025504004</v>
      </c>
      <c r="AA312" s="248" t="str">
        <f>IFERROR(VLOOKUP(Y312,TD!$K$47:$L$65,2,0)," ")</f>
        <v>PM/0131/0104/45030040255</v>
      </c>
      <c r="AB312" s="53" t="s">
        <v>138</v>
      </c>
      <c r="AC312" s="250" t="s">
        <v>204</v>
      </c>
    </row>
    <row r="313" spans="2:29" s="28" customFormat="1" ht="98" x14ac:dyDescent="0.35">
      <c r="B313" s="77">
        <v>20250326</v>
      </c>
      <c r="C313" s="50" t="s">
        <v>209</v>
      </c>
      <c r="D313" s="246" t="s">
        <v>169</v>
      </c>
      <c r="E313" s="51" t="s">
        <v>465</v>
      </c>
      <c r="F313" s="246" t="s">
        <v>531</v>
      </c>
      <c r="G313" s="246" t="s">
        <v>155</v>
      </c>
      <c r="H313" s="93">
        <v>80111600</v>
      </c>
      <c r="I313" s="247">
        <v>3</v>
      </c>
      <c r="J313" s="247">
        <v>10</v>
      </c>
      <c r="K313" s="52">
        <v>0</v>
      </c>
      <c r="L313" s="53">
        <v>95000000</v>
      </c>
      <c r="M313" s="246" t="s">
        <v>464</v>
      </c>
      <c r="N313" s="53" t="s">
        <v>113</v>
      </c>
      <c r="O313" s="51" t="s">
        <v>222</v>
      </c>
      <c r="P313" s="248" t="str">
        <f>IFERROR(VLOOKUP(C313,TD!$B$33:$F$37,2,0)," ")</f>
        <v>O230117</v>
      </c>
      <c r="Q313" s="248" t="str">
        <f>IFERROR(VLOOKUP(C313,TD!$B$33:$F$37,3,0)," ")</f>
        <v>4503</v>
      </c>
      <c r="R313" s="248">
        <f>IFERROR(VLOOKUP(C313,TD!$B$33:$F$37,4,0)," ")</f>
        <v>20240255</v>
      </c>
      <c r="S313" s="51" t="s">
        <v>175</v>
      </c>
      <c r="T313" s="248" t="str">
        <f>IFERROR(VLOOKUP(S313,TD!$J$34:$K$44,2,0)," ")</f>
        <v>Servicio de atención a incidentes y emergencias.</v>
      </c>
      <c r="U313" s="249" t="str">
        <f>CONCATENATE(S313,"-",T313)</f>
        <v>04-Servicio de atención a incidentes y emergencias.</v>
      </c>
      <c r="V313" s="51" t="s">
        <v>232</v>
      </c>
      <c r="W313" s="248" t="str">
        <f>IFERROR(VLOOKUP(V313,TD!$N$34:$O$46,2,0)," ")</f>
        <v>Servicio de atención a emergencias y desastres</v>
      </c>
      <c r="X313" s="249" t="str">
        <f>CONCATENATE(V313,"_",W313)</f>
        <v>004_Servicio de atención a emergencias y desastres</v>
      </c>
      <c r="Y313" s="249" t="str">
        <f>CONCATENATE(U313," ",X313)</f>
        <v>04-Servicio de atención a incidentes y emergencias. 004_Servicio de atención a emergencias y desastres</v>
      </c>
      <c r="Z313" s="248" t="str">
        <f>CONCATENATE(P313,Q313,R313,S313,V313)</f>
        <v>O23011745032024025504004</v>
      </c>
      <c r="AA313" s="248" t="str">
        <f>IFERROR(VLOOKUP(Y313,TD!$K$47:$L$65,2,0)," ")</f>
        <v>PM/0131/0104/45030040255</v>
      </c>
      <c r="AB313" s="53" t="s">
        <v>138</v>
      </c>
      <c r="AC313" s="250" t="s">
        <v>204</v>
      </c>
    </row>
    <row r="314" spans="2:29" s="28" customFormat="1" ht="56" x14ac:dyDescent="0.35">
      <c r="B314" s="77">
        <v>20250327</v>
      </c>
      <c r="C314" s="50" t="s">
        <v>209</v>
      </c>
      <c r="D314" s="246" t="s">
        <v>169</v>
      </c>
      <c r="E314" s="51" t="s">
        <v>465</v>
      </c>
      <c r="F314" s="246" t="s">
        <v>532</v>
      </c>
      <c r="G314" s="246" t="s">
        <v>155</v>
      </c>
      <c r="H314" s="93">
        <v>80111600</v>
      </c>
      <c r="I314" s="247">
        <v>2</v>
      </c>
      <c r="J314" s="247">
        <v>10</v>
      </c>
      <c r="K314" s="52">
        <v>15</v>
      </c>
      <c r="L314" s="53">
        <v>47250000</v>
      </c>
      <c r="M314" s="246" t="s">
        <v>464</v>
      </c>
      <c r="N314" s="53" t="s">
        <v>113</v>
      </c>
      <c r="O314" s="51" t="s">
        <v>222</v>
      </c>
      <c r="P314" s="248" t="str">
        <f>IFERROR(VLOOKUP(C314,TD!$B$33:$F$37,2,0)," ")</f>
        <v>O230117</v>
      </c>
      <c r="Q314" s="248" t="str">
        <f>IFERROR(VLOOKUP(C314,TD!$B$33:$F$37,3,0)," ")</f>
        <v>4503</v>
      </c>
      <c r="R314" s="248">
        <f>IFERROR(VLOOKUP(C314,TD!$B$33:$F$37,4,0)," ")</f>
        <v>20240255</v>
      </c>
      <c r="S314" s="51" t="s">
        <v>175</v>
      </c>
      <c r="T314" s="248" t="str">
        <f>IFERROR(VLOOKUP(S314,TD!$J$34:$K$44,2,0)," ")</f>
        <v>Servicio de atención a incidentes y emergencias.</v>
      </c>
      <c r="U314" s="249" t="str">
        <f>CONCATENATE(S314,"-",T314)</f>
        <v>04-Servicio de atención a incidentes y emergencias.</v>
      </c>
      <c r="V314" s="51" t="s">
        <v>232</v>
      </c>
      <c r="W314" s="248" t="str">
        <f>IFERROR(VLOOKUP(V314,TD!$N$34:$O$46,2,0)," ")</f>
        <v>Servicio de atención a emergencias y desastres</v>
      </c>
      <c r="X314" s="249" t="str">
        <f>CONCATENATE(V314,"_",W314)</f>
        <v>004_Servicio de atención a emergencias y desastres</v>
      </c>
      <c r="Y314" s="249" t="str">
        <f>CONCATENATE(U314," ",X314)</f>
        <v>04-Servicio de atención a incidentes y emergencias. 004_Servicio de atención a emergencias y desastres</v>
      </c>
      <c r="Z314" s="248" t="str">
        <f>CONCATENATE(P314,Q314,R314,S314,V314)</f>
        <v>O23011745032024025504004</v>
      </c>
      <c r="AA314" s="248" t="str">
        <f>IFERROR(VLOOKUP(Y314,TD!$K$47:$L$65,2,0)," ")</f>
        <v>PM/0131/0104/45030040255</v>
      </c>
      <c r="AB314" s="53" t="s">
        <v>138</v>
      </c>
      <c r="AC314" s="250" t="s">
        <v>204</v>
      </c>
    </row>
    <row r="315" spans="2:29" s="28" customFormat="1" ht="126" x14ac:dyDescent="0.35">
      <c r="B315" s="77">
        <v>20250328</v>
      </c>
      <c r="C315" s="50" t="s">
        <v>209</v>
      </c>
      <c r="D315" s="246" t="s">
        <v>169</v>
      </c>
      <c r="E315" s="51" t="s">
        <v>465</v>
      </c>
      <c r="F315" s="246" t="s">
        <v>533</v>
      </c>
      <c r="G315" s="246" t="s">
        <v>155</v>
      </c>
      <c r="H315" s="93">
        <v>80111600</v>
      </c>
      <c r="I315" s="247">
        <v>2</v>
      </c>
      <c r="J315" s="247">
        <v>10</v>
      </c>
      <c r="K315" s="52">
        <v>0</v>
      </c>
      <c r="L315" s="53">
        <v>74550000</v>
      </c>
      <c r="M315" s="246" t="s">
        <v>464</v>
      </c>
      <c r="N315" s="53" t="s">
        <v>113</v>
      </c>
      <c r="O315" s="51" t="s">
        <v>222</v>
      </c>
      <c r="P315" s="248" t="str">
        <f>IFERROR(VLOOKUP(C315,TD!$B$33:$F$37,2,0)," ")</f>
        <v>O230117</v>
      </c>
      <c r="Q315" s="248" t="str">
        <f>IFERROR(VLOOKUP(C315,TD!$B$33:$F$37,3,0)," ")</f>
        <v>4503</v>
      </c>
      <c r="R315" s="248">
        <f>IFERROR(VLOOKUP(C315,TD!$B$33:$F$37,4,0)," ")</f>
        <v>20240255</v>
      </c>
      <c r="S315" s="51" t="s">
        <v>175</v>
      </c>
      <c r="T315" s="248" t="str">
        <f>IFERROR(VLOOKUP(S315,TD!$J$34:$K$44,2,0)," ")</f>
        <v>Servicio de atención a incidentes y emergencias.</v>
      </c>
      <c r="U315" s="249" t="str">
        <f>CONCATENATE(S315,"-",T315)</f>
        <v>04-Servicio de atención a incidentes y emergencias.</v>
      </c>
      <c r="V315" s="51" t="s">
        <v>232</v>
      </c>
      <c r="W315" s="248" t="str">
        <f>IFERROR(VLOOKUP(V315,TD!$N$34:$O$46,2,0)," ")</f>
        <v>Servicio de atención a emergencias y desastres</v>
      </c>
      <c r="X315" s="249" t="str">
        <f>CONCATENATE(V315,"_",W315)</f>
        <v>004_Servicio de atención a emergencias y desastres</v>
      </c>
      <c r="Y315" s="249" t="str">
        <f>CONCATENATE(U315," ",X315)</f>
        <v>04-Servicio de atención a incidentes y emergencias. 004_Servicio de atención a emergencias y desastres</v>
      </c>
      <c r="Z315" s="248" t="str">
        <f>CONCATENATE(P315,Q315,R315,S315,V315)</f>
        <v>O23011745032024025504004</v>
      </c>
      <c r="AA315" s="248" t="str">
        <f>IFERROR(VLOOKUP(Y315,TD!$K$47:$L$65,2,0)," ")</f>
        <v>PM/0131/0104/45030040255</v>
      </c>
      <c r="AB315" s="53" t="s">
        <v>138</v>
      </c>
      <c r="AC315" s="250" t="s">
        <v>204</v>
      </c>
    </row>
    <row r="316" spans="2:29" s="28" customFormat="1" ht="84" x14ac:dyDescent="0.35">
      <c r="B316" s="77">
        <v>20250329</v>
      </c>
      <c r="C316" s="50" t="s">
        <v>209</v>
      </c>
      <c r="D316" s="246" t="s">
        <v>169</v>
      </c>
      <c r="E316" s="51" t="s">
        <v>465</v>
      </c>
      <c r="F316" s="246" t="s">
        <v>534</v>
      </c>
      <c r="G316" s="246" t="s">
        <v>155</v>
      </c>
      <c r="H316" s="93">
        <v>80111600</v>
      </c>
      <c r="I316" s="247">
        <v>2</v>
      </c>
      <c r="J316" s="247">
        <v>10</v>
      </c>
      <c r="K316" s="52">
        <v>0</v>
      </c>
      <c r="L316" s="53">
        <v>65000000</v>
      </c>
      <c r="M316" s="246" t="s">
        <v>464</v>
      </c>
      <c r="N316" s="53" t="s">
        <v>113</v>
      </c>
      <c r="O316" s="51" t="s">
        <v>222</v>
      </c>
      <c r="P316" s="248" t="str">
        <f>IFERROR(VLOOKUP(C316,TD!$B$33:$F$37,2,0)," ")</f>
        <v>O230117</v>
      </c>
      <c r="Q316" s="248" t="str">
        <f>IFERROR(VLOOKUP(C316,TD!$B$33:$F$37,3,0)," ")</f>
        <v>4503</v>
      </c>
      <c r="R316" s="248">
        <f>IFERROR(VLOOKUP(C316,TD!$B$33:$F$37,4,0)," ")</f>
        <v>20240255</v>
      </c>
      <c r="S316" s="51" t="s">
        <v>175</v>
      </c>
      <c r="T316" s="248" t="str">
        <f>IFERROR(VLOOKUP(S316,TD!$J$34:$K$44,2,0)," ")</f>
        <v>Servicio de atención a incidentes y emergencias.</v>
      </c>
      <c r="U316" s="249" t="str">
        <f>CONCATENATE(S316,"-",T316)</f>
        <v>04-Servicio de atención a incidentes y emergencias.</v>
      </c>
      <c r="V316" s="51" t="s">
        <v>232</v>
      </c>
      <c r="W316" s="248" t="str">
        <f>IFERROR(VLOOKUP(V316,TD!$N$34:$O$46,2,0)," ")</f>
        <v>Servicio de atención a emergencias y desastres</v>
      </c>
      <c r="X316" s="249" t="str">
        <f>CONCATENATE(V316,"_",W316)</f>
        <v>004_Servicio de atención a emergencias y desastres</v>
      </c>
      <c r="Y316" s="249" t="str">
        <f>CONCATENATE(U316," ",X316)</f>
        <v>04-Servicio de atención a incidentes y emergencias. 004_Servicio de atención a emergencias y desastres</v>
      </c>
      <c r="Z316" s="248" t="str">
        <f>CONCATENATE(P316,Q316,R316,S316,V316)</f>
        <v>O23011745032024025504004</v>
      </c>
      <c r="AA316" s="248" t="str">
        <f>IFERROR(VLOOKUP(Y316,TD!$K$47:$L$65,2,0)," ")</f>
        <v>PM/0131/0104/45030040255</v>
      </c>
      <c r="AB316" s="53" t="s">
        <v>138</v>
      </c>
      <c r="AC316" s="250" t="s">
        <v>204</v>
      </c>
    </row>
    <row r="317" spans="2:29" s="28" customFormat="1" ht="56" x14ac:dyDescent="0.35">
      <c r="B317" s="77">
        <v>20250330</v>
      </c>
      <c r="C317" s="50" t="s">
        <v>209</v>
      </c>
      <c r="D317" s="246" t="s">
        <v>169</v>
      </c>
      <c r="E317" s="51" t="s">
        <v>465</v>
      </c>
      <c r="F317" s="246" t="s">
        <v>535</v>
      </c>
      <c r="G317" s="246" t="s">
        <v>155</v>
      </c>
      <c r="H317" s="93">
        <v>80111600</v>
      </c>
      <c r="I317" s="247">
        <v>3</v>
      </c>
      <c r="J317" s="247">
        <v>9</v>
      </c>
      <c r="K317" s="52">
        <v>0</v>
      </c>
      <c r="L317" s="53">
        <v>63000000</v>
      </c>
      <c r="M317" s="246" t="s">
        <v>464</v>
      </c>
      <c r="N317" s="53" t="s">
        <v>113</v>
      </c>
      <c r="O317" s="51" t="s">
        <v>222</v>
      </c>
      <c r="P317" s="248" t="str">
        <f>IFERROR(VLOOKUP(C317,TD!$B$33:$F$37,2,0)," ")</f>
        <v>O230117</v>
      </c>
      <c r="Q317" s="248" t="str">
        <f>IFERROR(VLOOKUP(C317,TD!$B$33:$F$37,3,0)," ")</f>
        <v>4503</v>
      </c>
      <c r="R317" s="248">
        <f>IFERROR(VLOOKUP(C317,TD!$B$33:$F$37,4,0)," ")</f>
        <v>20240255</v>
      </c>
      <c r="S317" s="51" t="s">
        <v>175</v>
      </c>
      <c r="T317" s="248" t="str">
        <f>IFERROR(VLOOKUP(S317,TD!$J$34:$K$44,2,0)," ")</f>
        <v>Servicio de atención a incidentes y emergencias.</v>
      </c>
      <c r="U317" s="249" t="str">
        <f>CONCATENATE(S317,"-",T317)</f>
        <v>04-Servicio de atención a incidentes y emergencias.</v>
      </c>
      <c r="V317" s="51" t="s">
        <v>232</v>
      </c>
      <c r="W317" s="248" t="str">
        <f>IFERROR(VLOOKUP(V317,TD!$N$34:$O$46,2,0)," ")</f>
        <v>Servicio de atención a emergencias y desastres</v>
      </c>
      <c r="X317" s="249" t="str">
        <f>CONCATENATE(V317,"_",W317)</f>
        <v>004_Servicio de atención a emergencias y desastres</v>
      </c>
      <c r="Y317" s="249" t="str">
        <f>CONCATENATE(U317," ",X317)</f>
        <v>04-Servicio de atención a incidentes y emergencias. 004_Servicio de atención a emergencias y desastres</v>
      </c>
      <c r="Z317" s="248" t="str">
        <f>CONCATENATE(P317,Q317,R317,S317,V317)</f>
        <v>O23011745032024025504004</v>
      </c>
      <c r="AA317" s="248" t="str">
        <f>IFERROR(VLOOKUP(Y317,TD!$K$47:$L$65,2,0)," ")</f>
        <v>PM/0131/0104/45030040255</v>
      </c>
      <c r="AB317" s="53" t="s">
        <v>138</v>
      </c>
      <c r="AC317" s="250" t="s">
        <v>204</v>
      </c>
    </row>
    <row r="318" spans="2:29" s="28" customFormat="1" ht="42" x14ac:dyDescent="0.35">
      <c r="B318" s="77">
        <v>20250331</v>
      </c>
      <c r="C318" s="50" t="s">
        <v>209</v>
      </c>
      <c r="D318" s="246" t="s">
        <v>169</v>
      </c>
      <c r="E318" s="51" t="s">
        <v>465</v>
      </c>
      <c r="F318" s="246" t="s">
        <v>536</v>
      </c>
      <c r="G318" s="246" t="s">
        <v>155</v>
      </c>
      <c r="H318" s="93">
        <v>80111600</v>
      </c>
      <c r="I318" s="247">
        <v>2</v>
      </c>
      <c r="J318" s="247">
        <v>10</v>
      </c>
      <c r="K318" s="52">
        <v>0</v>
      </c>
      <c r="L318" s="53">
        <v>48300000</v>
      </c>
      <c r="M318" s="246" t="s">
        <v>464</v>
      </c>
      <c r="N318" s="53" t="s">
        <v>113</v>
      </c>
      <c r="O318" s="51" t="s">
        <v>222</v>
      </c>
      <c r="P318" s="248" t="str">
        <f>IFERROR(VLOOKUP(C318,TD!$B$33:$F$37,2,0)," ")</f>
        <v>O230117</v>
      </c>
      <c r="Q318" s="248" t="str">
        <f>IFERROR(VLOOKUP(C318,TD!$B$33:$F$37,3,0)," ")</f>
        <v>4503</v>
      </c>
      <c r="R318" s="248">
        <f>IFERROR(VLOOKUP(C318,TD!$B$33:$F$37,4,0)," ")</f>
        <v>20240255</v>
      </c>
      <c r="S318" s="51" t="s">
        <v>175</v>
      </c>
      <c r="T318" s="248" t="str">
        <f>IFERROR(VLOOKUP(S318,TD!$J$34:$K$44,2,0)," ")</f>
        <v>Servicio de atención a incidentes y emergencias.</v>
      </c>
      <c r="U318" s="249" t="str">
        <f>CONCATENATE(S318,"-",T318)</f>
        <v>04-Servicio de atención a incidentes y emergencias.</v>
      </c>
      <c r="V318" s="51" t="s">
        <v>232</v>
      </c>
      <c r="W318" s="248" t="str">
        <f>IFERROR(VLOOKUP(V318,TD!$N$34:$O$46,2,0)," ")</f>
        <v>Servicio de atención a emergencias y desastres</v>
      </c>
      <c r="X318" s="249" t="str">
        <f>CONCATENATE(V318,"_",W318)</f>
        <v>004_Servicio de atención a emergencias y desastres</v>
      </c>
      <c r="Y318" s="249" t="str">
        <f>CONCATENATE(U318," ",X318)</f>
        <v>04-Servicio de atención a incidentes y emergencias. 004_Servicio de atención a emergencias y desastres</v>
      </c>
      <c r="Z318" s="248" t="str">
        <f>CONCATENATE(P318,Q318,R318,S318,V318)</f>
        <v>O23011745032024025504004</v>
      </c>
      <c r="AA318" s="248" t="str">
        <f>IFERROR(VLOOKUP(Y318,TD!$K$47:$L$65,2,0)," ")</f>
        <v>PM/0131/0104/45030040255</v>
      </c>
      <c r="AB318" s="53" t="s">
        <v>138</v>
      </c>
      <c r="AC318" s="250" t="s">
        <v>204</v>
      </c>
    </row>
    <row r="319" spans="2:29" s="28" customFormat="1" ht="42" x14ac:dyDescent="0.35">
      <c r="B319" s="77">
        <v>20250332</v>
      </c>
      <c r="C319" s="50" t="s">
        <v>209</v>
      </c>
      <c r="D319" s="246" t="s">
        <v>169</v>
      </c>
      <c r="E319" s="51" t="s">
        <v>465</v>
      </c>
      <c r="F319" s="246" t="s">
        <v>832</v>
      </c>
      <c r="G319" s="246" t="s">
        <v>155</v>
      </c>
      <c r="H319" s="93">
        <v>80111600</v>
      </c>
      <c r="I319" s="247">
        <v>3</v>
      </c>
      <c r="J319" s="247">
        <v>10</v>
      </c>
      <c r="K319" s="52">
        <v>0</v>
      </c>
      <c r="L319" s="53">
        <v>94683333</v>
      </c>
      <c r="M319" s="246" t="s">
        <v>464</v>
      </c>
      <c r="N319" s="53" t="s">
        <v>113</v>
      </c>
      <c r="O319" s="51" t="s">
        <v>222</v>
      </c>
      <c r="P319" s="248" t="str">
        <f>IFERROR(VLOOKUP(C319,TD!$B$33:$F$37,2,0)," ")</f>
        <v>O230117</v>
      </c>
      <c r="Q319" s="248" t="str">
        <f>IFERROR(VLOOKUP(C319,TD!$B$33:$F$37,3,0)," ")</f>
        <v>4503</v>
      </c>
      <c r="R319" s="248">
        <f>IFERROR(VLOOKUP(C319,TD!$B$33:$F$37,4,0)," ")</f>
        <v>20240255</v>
      </c>
      <c r="S319" s="51" t="s">
        <v>175</v>
      </c>
      <c r="T319" s="248" t="str">
        <f>IFERROR(VLOOKUP(S319,TD!$J$34:$K$44,2,0)," ")</f>
        <v>Servicio de atención a incidentes y emergencias.</v>
      </c>
      <c r="U319" s="249" t="str">
        <f>CONCATENATE(S319,"-",T319)</f>
        <v>04-Servicio de atención a incidentes y emergencias.</v>
      </c>
      <c r="V319" s="51" t="s">
        <v>232</v>
      </c>
      <c r="W319" s="248" t="str">
        <f>IFERROR(VLOOKUP(V319,TD!$N$34:$O$46,2,0)," ")</f>
        <v>Servicio de atención a emergencias y desastres</v>
      </c>
      <c r="X319" s="249" t="str">
        <f>CONCATENATE(V319,"_",W319)</f>
        <v>004_Servicio de atención a emergencias y desastres</v>
      </c>
      <c r="Y319" s="249" t="str">
        <f>CONCATENATE(U319," ",X319)</f>
        <v>04-Servicio de atención a incidentes y emergencias. 004_Servicio de atención a emergencias y desastres</v>
      </c>
      <c r="Z319" s="248" t="str">
        <f>CONCATENATE(P319,Q319,R319,S319,V319)</f>
        <v>O23011745032024025504004</v>
      </c>
      <c r="AA319" s="248" t="str">
        <f>IFERROR(VLOOKUP(Y319,TD!$K$47:$L$65,2,0)," ")</f>
        <v>PM/0131/0104/45030040255</v>
      </c>
      <c r="AB319" s="53" t="s">
        <v>138</v>
      </c>
      <c r="AC319" s="250" t="s">
        <v>204</v>
      </c>
    </row>
    <row r="320" spans="2:29" s="28" customFormat="1" ht="56" x14ac:dyDescent="0.35">
      <c r="B320" s="77">
        <v>20250333</v>
      </c>
      <c r="C320" s="50" t="s">
        <v>209</v>
      </c>
      <c r="D320" s="246" t="s">
        <v>169</v>
      </c>
      <c r="E320" s="51" t="s">
        <v>465</v>
      </c>
      <c r="F320" s="246" t="s">
        <v>537</v>
      </c>
      <c r="G320" s="246" t="s">
        <v>155</v>
      </c>
      <c r="H320" s="93">
        <v>80111600</v>
      </c>
      <c r="I320" s="247">
        <v>2</v>
      </c>
      <c r="J320" s="247">
        <v>10</v>
      </c>
      <c r="K320" s="52">
        <v>0</v>
      </c>
      <c r="L320" s="53">
        <v>55000000</v>
      </c>
      <c r="M320" s="246" t="s">
        <v>464</v>
      </c>
      <c r="N320" s="53" t="s">
        <v>113</v>
      </c>
      <c r="O320" s="51" t="s">
        <v>222</v>
      </c>
      <c r="P320" s="248" t="str">
        <f>IFERROR(VLOOKUP(C320,TD!$B$33:$F$37,2,0)," ")</f>
        <v>O230117</v>
      </c>
      <c r="Q320" s="248" t="str">
        <f>IFERROR(VLOOKUP(C320,TD!$B$33:$F$37,3,0)," ")</f>
        <v>4503</v>
      </c>
      <c r="R320" s="248">
        <f>IFERROR(VLOOKUP(C320,TD!$B$33:$F$37,4,0)," ")</f>
        <v>20240255</v>
      </c>
      <c r="S320" s="51" t="s">
        <v>175</v>
      </c>
      <c r="T320" s="248" t="str">
        <f>IFERROR(VLOOKUP(S320,TD!$J$34:$K$44,2,0)," ")</f>
        <v>Servicio de atención a incidentes y emergencias.</v>
      </c>
      <c r="U320" s="249" t="str">
        <f>CONCATENATE(S320,"-",T320)</f>
        <v>04-Servicio de atención a incidentes y emergencias.</v>
      </c>
      <c r="V320" s="51" t="s">
        <v>232</v>
      </c>
      <c r="W320" s="248" t="str">
        <f>IFERROR(VLOOKUP(V320,TD!$N$34:$O$46,2,0)," ")</f>
        <v>Servicio de atención a emergencias y desastres</v>
      </c>
      <c r="X320" s="249" t="str">
        <f>CONCATENATE(V320,"_",W320)</f>
        <v>004_Servicio de atención a emergencias y desastres</v>
      </c>
      <c r="Y320" s="249" t="str">
        <f>CONCATENATE(U320," ",X320)</f>
        <v>04-Servicio de atención a incidentes y emergencias. 004_Servicio de atención a emergencias y desastres</v>
      </c>
      <c r="Z320" s="248" t="str">
        <f>CONCATENATE(P320,Q320,R320,S320,V320)</f>
        <v>O23011745032024025504004</v>
      </c>
      <c r="AA320" s="248" t="str">
        <f>IFERROR(VLOOKUP(Y320,TD!$K$47:$L$65,2,0)," ")</f>
        <v>PM/0131/0104/45030040255</v>
      </c>
      <c r="AB320" s="53" t="s">
        <v>138</v>
      </c>
      <c r="AC320" s="250" t="s">
        <v>204</v>
      </c>
    </row>
    <row r="321" spans="2:29" s="28" customFormat="1" ht="56" x14ac:dyDescent="0.35">
      <c r="B321" s="77">
        <v>20250334</v>
      </c>
      <c r="C321" s="50" t="s">
        <v>209</v>
      </c>
      <c r="D321" s="246" t="s">
        <v>169</v>
      </c>
      <c r="E321" s="51" t="s">
        <v>465</v>
      </c>
      <c r="F321" s="246" t="s">
        <v>825</v>
      </c>
      <c r="G321" s="246" t="s">
        <v>155</v>
      </c>
      <c r="H321" s="93">
        <v>80111600</v>
      </c>
      <c r="I321" s="247">
        <v>3</v>
      </c>
      <c r="J321" s="247">
        <v>9</v>
      </c>
      <c r="K321" s="52">
        <v>15</v>
      </c>
      <c r="L321" s="53">
        <v>66500000</v>
      </c>
      <c r="M321" s="246" t="s">
        <v>464</v>
      </c>
      <c r="N321" s="53" t="s">
        <v>113</v>
      </c>
      <c r="O321" s="51" t="s">
        <v>222</v>
      </c>
      <c r="P321" s="248" t="str">
        <f>IFERROR(VLOOKUP(C321,TD!$B$33:$F$37,2,0)," ")</f>
        <v>O230117</v>
      </c>
      <c r="Q321" s="248" t="str">
        <f>IFERROR(VLOOKUP(C321,TD!$B$33:$F$37,3,0)," ")</f>
        <v>4503</v>
      </c>
      <c r="R321" s="248">
        <f>IFERROR(VLOOKUP(C321,TD!$B$33:$F$37,4,0)," ")</f>
        <v>20240255</v>
      </c>
      <c r="S321" s="51" t="s">
        <v>175</v>
      </c>
      <c r="T321" s="248" t="str">
        <f>IFERROR(VLOOKUP(S321,TD!$J$34:$K$44,2,0)," ")</f>
        <v>Servicio de atención a incidentes y emergencias.</v>
      </c>
      <c r="U321" s="249" t="str">
        <f>CONCATENATE(S321,"-",T321)</f>
        <v>04-Servicio de atención a incidentes y emergencias.</v>
      </c>
      <c r="V321" s="51" t="s">
        <v>232</v>
      </c>
      <c r="W321" s="248" t="str">
        <f>IFERROR(VLOOKUP(V321,TD!$N$34:$O$46,2,0)," ")</f>
        <v>Servicio de atención a emergencias y desastres</v>
      </c>
      <c r="X321" s="249" t="str">
        <f>CONCATENATE(V321,"_",W321)</f>
        <v>004_Servicio de atención a emergencias y desastres</v>
      </c>
      <c r="Y321" s="249" t="str">
        <f>CONCATENATE(U321," ",X321)</f>
        <v>04-Servicio de atención a incidentes y emergencias. 004_Servicio de atención a emergencias y desastres</v>
      </c>
      <c r="Z321" s="248" t="str">
        <f>CONCATENATE(P321,Q321,R321,S321,V321)</f>
        <v>O23011745032024025504004</v>
      </c>
      <c r="AA321" s="248" t="str">
        <f>IFERROR(VLOOKUP(Y321,TD!$K$47:$L$65,2,0)," ")</f>
        <v>PM/0131/0104/45030040255</v>
      </c>
      <c r="AB321" s="53" t="s">
        <v>138</v>
      </c>
      <c r="AC321" s="250" t="s">
        <v>204</v>
      </c>
    </row>
    <row r="322" spans="2:29" s="28" customFormat="1" ht="70" x14ac:dyDescent="0.35">
      <c r="B322" s="77">
        <v>20250335</v>
      </c>
      <c r="C322" s="50" t="s">
        <v>209</v>
      </c>
      <c r="D322" s="246" t="s">
        <v>169</v>
      </c>
      <c r="E322" s="51" t="s">
        <v>465</v>
      </c>
      <c r="F322" s="246" t="s">
        <v>538</v>
      </c>
      <c r="G322" s="246" t="s">
        <v>155</v>
      </c>
      <c r="H322" s="93">
        <v>80111600</v>
      </c>
      <c r="I322" s="247">
        <v>2</v>
      </c>
      <c r="J322" s="247">
        <v>10</v>
      </c>
      <c r="K322" s="52">
        <v>15</v>
      </c>
      <c r="L322" s="53">
        <v>50000000</v>
      </c>
      <c r="M322" s="246" t="s">
        <v>464</v>
      </c>
      <c r="N322" s="53" t="s">
        <v>113</v>
      </c>
      <c r="O322" s="51" t="s">
        <v>222</v>
      </c>
      <c r="P322" s="248" t="str">
        <f>IFERROR(VLOOKUP(C322,TD!$B$33:$F$37,2,0)," ")</f>
        <v>O230117</v>
      </c>
      <c r="Q322" s="248" t="str">
        <f>IFERROR(VLOOKUP(C322,TD!$B$33:$F$37,3,0)," ")</f>
        <v>4503</v>
      </c>
      <c r="R322" s="248">
        <f>IFERROR(VLOOKUP(C322,TD!$B$33:$F$37,4,0)," ")</f>
        <v>20240255</v>
      </c>
      <c r="S322" s="51" t="s">
        <v>175</v>
      </c>
      <c r="T322" s="248" t="str">
        <f>IFERROR(VLOOKUP(S322,TD!$J$34:$K$44,2,0)," ")</f>
        <v>Servicio de atención a incidentes y emergencias.</v>
      </c>
      <c r="U322" s="249" t="str">
        <f>CONCATENATE(S322,"-",T322)</f>
        <v>04-Servicio de atención a incidentes y emergencias.</v>
      </c>
      <c r="V322" s="51" t="s">
        <v>232</v>
      </c>
      <c r="W322" s="248" t="str">
        <f>IFERROR(VLOOKUP(V322,TD!$N$34:$O$46,2,0)," ")</f>
        <v>Servicio de atención a emergencias y desastres</v>
      </c>
      <c r="X322" s="249" t="str">
        <f>CONCATENATE(V322,"_",W322)</f>
        <v>004_Servicio de atención a emergencias y desastres</v>
      </c>
      <c r="Y322" s="249" t="str">
        <f>CONCATENATE(U322," ",X322)</f>
        <v>04-Servicio de atención a incidentes y emergencias. 004_Servicio de atención a emergencias y desastres</v>
      </c>
      <c r="Z322" s="248" t="str">
        <f>CONCATENATE(P322,Q322,R322,S322,V322)</f>
        <v>O23011745032024025504004</v>
      </c>
      <c r="AA322" s="248" t="str">
        <f>IFERROR(VLOOKUP(Y322,TD!$K$47:$L$65,2,0)," ")</f>
        <v>PM/0131/0104/45030040255</v>
      </c>
      <c r="AB322" s="53" t="s">
        <v>138</v>
      </c>
      <c r="AC322" s="250" t="s">
        <v>204</v>
      </c>
    </row>
    <row r="323" spans="2:29" s="28" customFormat="1" ht="42" x14ac:dyDescent="0.35">
      <c r="B323" s="77">
        <v>20250336</v>
      </c>
      <c r="C323" s="50" t="s">
        <v>209</v>
      </c>
      <c r="D323" s="246" t="s">
        <v>169</v>
      </c>
      <c r="E323" s="51" t="s">
        <v>465</v>
      </c>
      <c r="F323" s="246" t="s">
        <v>539</v>
      </c>
      <c r="G323" s="246" t="s">
        <v>155</v>
      </c>
      <c r="H323" s="93">
        <v>80111600</v>
      </c>
      <c r="I323" s="247">
        <v>2</v>
      </c>
      <c r="J323" s="247">
        <v>9</v>
      </c>
      <c r="K323" s="52">
        <v>0</v>
      </c>
      <c r="L323" s="53">
        <v>63000000</v>
      </c>
      <c r="M323" s="246" t="s">
        <v>464</v>
      </c>
      <c r="N323" s="53" t="s">
        <v>113</v>
      </c>
      <c r="O323" s="51" t="s">
        <v>222</v>
      </c>
      <c r="P323" s="248" t="str">
        <f>IFERROR(VLOOKUP(C323,TD!$B$33:$F$37,2,0)," ")</f>
        <v>O230117</v>
      </c>
      <c r="Q323" s="248" t="str">
        <f>IFERROR(VLOOKUP(C323,TD!$B$33:$F$37,3,0)," ")</f>
        <v>4503</v>
      </c>
      <c r="R323" s="248">
        <f>IFERROR(VLOOKUP(C323,TD!$B$33:$F$37,4,0)," ")</f>
        <v>20240255</v>
      </c>
      <c r="S323" s="51" t="s">
        <v>175</v>
      </c>
      <c r="T323" s="248" t="str">
        <f>IFERROR(VLOOKUP(S323,TD!$J$34:$K$44,2,0)," ")</f>
        <v>Servicio de atención a incidentes y emergencias.</v>
      </c>
      <c r="U323" s="249" t="str">
        <f>CONCATENATE(S323,"-",T323)</f>
        <v>04-Servicio de atención a incidentes y emergencias.</v>
      </c>
      <c r="V323" s="51" t="s">
        <v>232</v>
      </c>
      <c r="W323" s="248" t="str">
        <f>IFERROR(VLOOKUP(V323,TD!$N$34:$O$46,2,0)," ")</f>
        <v>Servicio de atención a emergencias y desastres</v>
      </c>
      <c r="X323" s="249" t="str">
        <f>CONCATENATE(V323,"_",W323)</f>
        <v>004_Servicio de atención a emergencias y desastres</v>
      </c>
      <c r="Y323" s="249" t="str">
        <f>CONCATENATE(U323," ",X323)</f>
        <v>04-Servicio de atención a incidentes y emergencias. 004_Servicio de atención a emergencias y desastres</v>
      </c>
      <c r="Z323" s="248" t="str">
        <f>CONCATENATE(P323,Q323,R323,S323,V323)</f>
        <v>O23011745032024025504004</v>
      </c>
      <c r="AA323" s="248" t="str">
        <f>IFERROR(VLOOKUP(Y323,TD!$K$47:$L$65,2,0)," ")</f>
        <v>PM/0131/0104/45030040255</v>
      </c>
      <c r="AB323" s="53" t="s">
        <v>138</v>
      </c>
      <c r="AC323" s="250" t="s">
        <v>204</v>
      </c>
    </row>
    <row r="324" spans="2:29" s="28" customFormat="1" ht="42" x14ac:dyDescent="0.35">
      <c r="B324" s="77">
        <v>20250337</v>
      </c>
      <c r="C324" s="50" t="s">
        <v>209</v>
      </c>
      <c r="D324" s="246" t="s">
        <v>169</v>
      </c>
      <c r="E324" s="51" t="s">
        <v>465</v>
      </c>
      <c r="F324" s="246" t="s">
        <v>540</v>
      </c>
      <c r="G324" s="246" t="s">
        <v>155</v>
      </c>
      <c r="H324" s="93">
        <v>80111600</v>
      </c>
      <c r="I324" s="247">
        <v>2</v>
      </c>
      <c r="J324" s="247">
        <v>10</v>
      </c>
      <c r="K324" s="52">
        <v>0</v>
      </c>
      <c r="L324" s="53">
        <v>65000000</v>
      </c>
      <c r="M324" s="246" t="s">
        <v>464</v>
      </c>
      <c r="N324" s="53" t="s">
        <v>113</v>
      </c>
      <c r="O324" s="51" t="s">
        <v>222</v>
      </c>
      <c r="P324" s="248" t="str">
        <f>IFERROR(VLOOKUP(C324,TD!$B$33:$F$37,2,0)," ")</f>
        <v>O230117</v>
      </c>
      <c r="Q324" s="248" t="str">
        <f>IFERROR(VLOOKUP(C324,TD!$B$33:$F$37,3,0)," ")</f>
        <v>4503</v>
      </c>
      <c r="R324" s="248">
        <f>IFERROR(VLOOKUP(C324,TD!$B$33:$F$37,4,0)," ")</f>
        <v>20240255</v>
      </c>
      <c r="S324" s="51" t="s">
        <v>175</v>
      </c>
      <c r="T324" s="248" t="str">
        <f>IFERROR(VLOOKUP(S324,TD!$J$34:$K$44,2,0)," ")</f>
        <v>Servicio de atención a incidentes y emergencias.</v>
      </c>
      <c r="U324" s="249" t="str">
        <f>CONCATENATE(S324,"-",T324)</f>
        <v>04-Servicio de atención a incidentes y emergencias.</v>
      </c>
      <c r="V324" s="51" t="s">
        <v>232</v>
      </c>
      <c r="W324" s="248" t="str">
        <f>IFERROR(VLOOKUP(V324,TD!$N$34:$O$46,2,0)," ")</f>
        <v>Servicio de atención a emergencias y desastres</v>
      </c>
      <c r="X324" s="249" t="str">
        <f>CONCATENATE(V324,"_",W324)</f>
        <v>004_Servicio de atención a emergencias y desastres</v>
      </c>
      <c r="Y324" s="249" t="str">
        <f>CONCATENATE(U324," ",X324)</f>
        <v>04-Servicio de atención a incidentes y emergencias. 004_Servicio de atención a emergencias y desastres</v>
      </c>
      <c r="Z324" s="248" t="str">
        <f>CONCATENATE(P324,Q324,R324,S324,V324)</f>
        <v>O23011745032024025504004</v>
      </c>
      <c r="AA324" s="248" t="str">
        <f>IFERROR(VLOOKUP(Y324,TD!$K$47:$L$65,2,0)," ")</f>
        <v>PM/0131/0104/45030040255</v>
      </c>
      <c r="AB324" s="53" t="s">
        <v>138</v>
      </c>
      <c r="AC324" s="250" t="s">
        <v>204</v>
      </c>
    </row>
    <row r="325" spans="2:29" s="28" customFormat="1" ht="42" x14ac:dyDescent="0.35">
      <c r="B325" s="77">
        <v>20250338</v>
      </c>
      <c r="C325" s="50" t="s">
        <v>209</v>
      </c>
      <c r="D325" s="246" t="s">
        <v>169</v>
      </c>
      <c r="E325" s="51" t="s">
        <v>465</v>
      </c>
      <c r="F325" s="246" t="s">
        <v>541</v>
      </c>
      <c r="G325" s="246" t="s">
        <v>155</v>
      </c>
      <c r="H325" s="93">
        <v>80111600</v>
      </c>
      <c r="I325" s="247">
        <v>3</v>
      </c>
      <c r="J325" s="247">
        <v>4</v>
      </c>
      <c r="K325" s="52">
        <v>0</v>
      </c>
      <c r="L325" s="53">
        <v>19200000</v>
      </c>
      <c r="M325" s="246" t="s">
        <v>464</v>
      </c>
      <c r="N325" s="53" t="s">
        <v>113</v>
      </c>
      <c r="O325" s="51" t="s">
        <v>222</v>
      </c>
      <c r="P325" s="248" t="str">
        <f>IFERROR(VLOOKUP(C325,TD!$B$33:$F$37,2,0)," ")</f>
        <v>O230117</v>
      </c>
      <c r="Q325" s="248" t="str">
        <f>IFERROR(VLOOKUP(C325,TD!$B$33:$F$37,3,0)," ")</f>
        <v>4503</v>
      </c>
      <c r="R325" s="248">
        <f>IFERROR(VLOOKUP(C325,TD!$B$33:$F$37,4,0)," ")</f>
        <v>20240255</v>
      </c>
      <c r="S325" s="51" t="s">
        <v>175</v>
      </c>
      <c r="T325" s="248" t="str">
        <f>IFERROR(VLOOKUP(S325,TD!$J$34:$K$44,2,0)," ")</f>
        <v>Servicio de atención a incidentes y emergencias.</v>
      </c>
      <c r="U325" s="249" t="str">
        <f>CONCATENATE(S325,"-",T325)</f>
        <v>04-Servicio de atención a incidentes y emergencias.</v>
      </c>
      <c r="V325" s="51" t="s">
        <v>232</v>
      </c>
      <c r="W325" s="248" t="str">
        <f>IFERROR(VLOOKUP(V325,TD!$N$34:$O$46,2,0)," ")</f>
        <v>Servicio de atención a emergencias y desastres</v>
      </c>
      <c r="X325" s="249" t="str">
        <f>CONCATENATE(V325,"_",W325)</f>
        <v>004_Servicio de atención a emergencias y desastres</v>
      </c>
      <c r="Y325" s="249" t="str">
        <f>CONCATENATE(U325," ",X325)</f>
        <v>04-Servicio de atención a incidentes y emergencias. 004_Servicio de atención a emergencias y desastres</v>
      </c>
      <c r="Z325" s="248" t="str">
        <f>CONCATENATE(P325,Q325,R325,S325,V325)</f>
        <v>O23011745032024025504004</v>
      </c>
      <c r="AA325" s="248" t="str">
        <f>IFERROR(VLOOKUP(Y325,TD!$K$47:$L$65,2,0)," ")</f>
        <v>PM/0131/0104/45030040255</v>
      </c>
      <c r="AB325" s="53" t="s">
        <v>138</v>
      </c>
      <c r="AC325" s="250" t="s">
        <v>204</v>
      </c>
    </row>
    <row r="326" spans="2:29" s="28" customFormat="1" ht="28" x14ac:dyDescent="0.35">
      <c r="B326" s="77">
        <v>20250340</v>
      </c>
      <c r="C326" s="50" t="s">
        <v>209</v>
      </c>
      <c r="D326" s="246" t="s">
        <v>169</v>
      </c>
      <c r="E326" s="51" t="s">
        <v>465</v>
      </c>
      <c r="F326" s="246" t="s">
        <v>542</v>
      </c>
      <c r="G326" s="246" t="s">
        <v>155</v>
      </c>
      <c r="H326" s="93">
        <v>80111600</v>
      </c>
      <c r="I326" s="247">
        <v>2</v>
      </c>
      <c r="J326" s="247">
        <v>10</v>
      </c>
      <c r="K326" s="52">
        <v>0</v>
      </c>
      <c r="L326" s="53">
        <v>95000000</v>
      </c>
      <c r="M326" s="246" t="s">
        <v>464</v>
      </c>
      <c r="N326" s="53" t="s">
        <v>113</v>
      </c>
      <c r="O326" s="51" t="s">
        <v>222</v>
      </c>
      <c r="P326" s="248" t="str">
        <f>IFERROR(VLOOKUP(C326,TD!$B$33:$F$37,2,0)," ")</f>
        <v>O230117</v>
      </c>
      <c r="Q326" s="248" t="str">
        <f>IFERROR(VLOOKUP(C326,TD!$B$33:$F$37,3,0)," ")</f>
        <v>4503</v>
      </c>
      <c r="R326" s="248">
        <f>IFERROR(VLOOKUP(C326,TD!$B$33:$F$37,4,0)," ")</f>
        <v>20240255</v>
      </c>
      <c r="S326" s="51" t="s">
        <v>175</v>
      </c>
      <c r="T326" s="248" t="str">
        <f>IFERROR(VLOOKUP(S326,TD!$J$34:$K$44,2,0)," ")</f>
        <v>Servicio de atención a incidentes y emergencias.</v>
      </c>
      <c r="U326" s="249" t="str">
        <f>CONCATENATE(S326,"-",T326)</f>
        <v>04-Servicio de atención a incidentes y emergencias.</v>
      </c>
      <c r="V326" s="51" t="s">
        <v>232</v>
      </c>
      <c r="W326" s="248" t="str">
        <f>IFERROR(VLOOKUP(V326,TD!$N$34:$O$46,2,0)," ")</f>
        <v>Servicio de atención a emergencias y desastres</v>
      </c>
      <c r="X326" s="249" t="str">
        <f>CONCATENATE(V326,"_",W326)</f>
        <v>004_Servicio de atención a emergencias y desastres</v>
      </c>
      <c r="Y326" s="249" t="str">
        <f>CONCATENATE(U326," ",X326)</f>
        <v>04-Servicio de atención a incidentes y emergencias. 004_Servicio de atención a emergencias y desastres</v>
      </c>
      <c r="Z326" s="248" t="str">
        <f>CONCATENATE(P326,Q326,R326,S326,V326)</f>
        <v>O23011745032024025504004</v>
      </c>
      <c r="AA326" s="248" t="str">
        <f>IFERROR(VLOOKUP(Y326,TD!$K$47:$L$65,2,0)," ")</f>
        <v>PM/0131/0104/45030040255</v>
      </c>
      <c r="AB326" s="53" t="s">
        <v>138</v>
      </c>
      <c r="AC326" s="250" t="s">
        <v>204</v>
      </c>
    </row>
    <row r="327" spans="2:29" s="28" customFormat="1" ht="70" x14ac:dyDescent="0.35">
      <c r="B327" s="77">
        <v>20250341</v>
      </c>
      <c r="C327" s="50" t="s">
        <v>209</v>
      </c>
      <c r="D327" s="246" t="s">
        <v>169</v>
      </c>
      <c r="E327" s="51" t="s">
        <v>465</v>
      </c>
      <c r="F327" s="246" t="s">
        <v>543</v>
      </c>
      <c r="G327" s="246" t="s">
        <v>155</v>
      </c>
      <c r="H327" s="93">
        <v>80111600</v>
      </c>
      <c r="I327" s="247">
        <v>2</v>
      </c>
      <c r="J327" s="247">
        <v>5</v>
      </c>
      <c r="K327" s="52">
        <v>0</v>
      </c>
      <c r="L327" s="53">
        <v>35000000</v>
      </c>
      <c r="M327" s="246" t="s">
        <v>464</v>
      </c>
      <c r="N327" s="53" t="s">
        <v>113</v>
      </c>
      <c r="O327" s="51" t="s">
        <v>222</v>
      </c>
      <c r="P327" s="248" t="str">
        <f>IFERROR(VLOOKUP(C327,TD!$B$33:$F$37,2,0)," ")</f>
        <v>O230117</v>
      </c>
      <c r="Q327" s="248" t="str">
        <f>IFERROR(VLOOKUP(C327,TD!$B$33:$F$37,3,0)," ")</f>
        <v>4503</v>
      </c>
      <c r="R327" s="248">
        <f>IFERROR(VLOOKUP(C327,TD!$B$33:$F$37,4,0)," ")</f>
        <v>20240255</v>
      </c>
      <c r="S327" s="51" t="s">
        <v>175</v>
      </c>
      <c r="T327" s="248" t="str">
        <f>IFERROR(VLOOKUP(S327,TD!$J$34:$K$44,2,0)," ")</f>
        <v>Servicio de atención a incidentes y emergencias.</v>
      </c>
      <c r="U327" s="249" t="str">
        <f>CONCATENATE(S327,"-",T327)</f>
        <v>04-Servicio de atención a incidentes y emergencias.</v>
      </c>
      <c r="V327" s="51" t="s">
        <v>232</v>
      </c>
      <c r="W327" s="248" t="str">
        <f>IFERROR(VLOOKUP(V327,TD!$N$34:$O$46,2,0)," ")</f>
        <v>Servicio de atención a emergencias y desastres</v>
      </c>
      <c r="X327" s="249" t="str">
        <f>CONCATENATE(V327,"_",W327)</f>
        <v>004_Servicio de atención a emergencias y desastres</v>
      </c>
      <c r="Y327" s="249" t="str">
        <f>CONCATENATE(U327," ",X327)</f>
        <v>04-Servicio de atención a incidentes y emergencias. 004_Servicio de atención a emergencias y desastres</v>
      </c>
      <c r="Z327" s="248" t="str">
        <f>CONCATENATE(P327,Q327,R327,S327,V327)</f>
        <v>O23011745032024025504004</v>
      </c>
      <c r="AA327" s="248" t="str">
        <f>IFERROR(VLOOKUP(Y327,TD!$K$47:$L$65,2,0)," ")</f>
        <v>PM/0131/0104/45030040255</v>
      </c>
      <c r="AB327" s="53" t="s">
        <v>138</v>
      </c>
      <c r="AC327" s="250" t="s">
        <v>204</v>
      </c>
    </row>
    <row r="328" spans="2:29" s="28" customFormat="1" ht="70" x14ac:dyDescent="0.35">
      <c r="B328" s="127">
        <v>20250342</v>
      </c>
      <c r="C328" s="129" t="s">
        <v>209</v>
      </c>
      <c r="D328" s="251" t="s">
        <v>169</v>
      </c>
      <c r="E328" s="252" t="s">
        <v>465</v>
      </c>
      <c r="F328" s="251" t="s">
        <v>544</v>
      </c>
      <c r="G328" s="251" t="s">
        <v>155</v>
      </c>
      <c r="H328" s="130">
        <v>80111600</v>
      </c>
      <c r="I328" s="253">
        <v>2</v>
      </c>
      <c r="J328" s="253">
        <v>9</v>
      </c>
      <c r="K328" s="126">
        <v>0</v>
      </c>
      <c r="L328" s="125">
        <v>40800000</v>
      </c>
      <c r="M328" s="251" t="s">
        <v>464</v>
      </c>
      <c r="N328" s="125" t="s">
        <v>113</v>
      </c>
      <c r="O328" s="252" t="s">
        <v>222</v>
      </c>
      <c r="P328" s="254" t="str">
        <f>IFERROR(VLOOKUP(C328,TD!$B$33:$F$37,2,0)," ")</f>
        <v>O230117</v>
      </c>
      <c r="Q328" s="254" t="str">
        <f>IFERROR(VLOOKUP(C328,TD!$B$33:$F$37,3,0)," ")</f>
        <v>4503</v>
      </c>
      <c r="R328" s="254">
        <f>IFERROR(VLOOKUP(C328,TD!$B$33:$F$37,4,0)," ")</f>
        <v>20240255</v>
      </c>
      <c r="S328" s="252" t="s">
        <v>175</v>
      </c>
      <c r="T328" s="254" t="str">
        <f>IFERROR(VLOOKUP(S328,TD!$J$34:$K$44,2,0)," ")</f>
        <v>Servicio de atención a incidentes y emergencias.</v>
      </c>
      <c r="U328" s="249" t="str">
        <f>CONCATENATE(S328,"-",T328)</f>
        <v>04-Servicio de atención a incidentes y emergencias.</v>
      </c>
      <c r="V328" s="252" t="s">
        <v>232</v>
      </c>
      <c r="W328" s="254" t="str">
        <f>IFERROR(VLOOKUP(V328,TD!$N$34:$O$46,2,0)," ")</f>
        <v>Servicio de atención a emergencias y desastres</v>
      </c>
      <c r="X328" s="249" t="str">
        <f>CONCATENATE(V328,"_",W328)</f>
        <v>004_Servicio de atención a emergencias y desastres</v>
      </c>
      <c r="Y328" s="249" t="str">
        <f>CONCATENATE(U328," ",X328)</f>
        <v>04-Servicio de atención a incidentes y emergencias. 004_Servicio de atención a emergencias y desastres</v>
      </c>
      <c r="Z328" s="254" t="str">
        <f>CONCATENATE(P328,Q328,R328,S328,V328)</f>
        <v>O23011745032024025504004</v>
      </c>
      <c r="AA328" s="254" t="str">
        <f>IFERROR(VLOOKUP(Y328,TD!$K$47:$L$65,2,0)," ")</f>
        <v>PM/0131/0104/45030040255</v>
      </c>
      <c r="AB328" s="125" t="s">
        <v>138</v>
      </c>
      <c r="AC328" s="255" t="s">
        <v>204</v>
      </c>
    </row>
    <row r="329" spans="2:29" s="28" customFormat="1" ht="70" x14ac:dyDescent="0.35">
      <c r="B329" s="77">
        <v>20250343</v>
      </c>
      <c r="C329" s="50" t="s">
        <v>209</v>
      </c>
      <c r="D329" s="246" t="s">
        <v>169</v>
      </c>
      <c r="E329" s="51" t="s">
        <v>465</v>
      </c>
      <c r="F329" s="246" t="s">
        <v>545</v>
      </c>
      <c r="G329" s="246" t="s">
        <v>155</v>
      </c>
      <c r="H329" s="93">
        <v>80111600</v>
      </c>
      <c r="I329" s="247">
        <v>2</v>
      </c>
      <c r="J329" s="247">
        <v>6</v>
      </c>
      <c r="K329" s="52">
        <v>0</v>
      </c>
      <c r="L329" s="53">
        <v>51000000</v>
      </c>
      <c r="M329" s="246" t="s">
        <v>464</v>
      </c>
      <c r="N329" s="53" t="s">
        <v>113</v>
      </c>
      <c r="O329" s="51" t="s">
        <v>222</v>
      </c>
      <c r="P329" s="248" t="str">
        <f>IFERROR(VLOOKUP(C329,TD!$B$33:$F$37,2,0)," ")</f>
        <v>O230117</v>
      </c>
      <c r="Q329" s="248" t="str">
        <f>IFERROR(VLOOKUP(C329,TD!$B$33:$F$37,3,0)," ")</f>
        <v>4503</v>
      </c>
      <c r="R329" s="248">
        <f>IFERROR(VLOOKUP(C329,TD!$B$33:$F$37,4,0)," ")</f>
        <v>20240255</v>
      </c>
      <c r="S329" s="51" t="s">
        <v>175</v>
      </c>
      <c r="T329" s="248" t="str">
        <f>IFERROR(VLOOKUP(S329,TD!$J$34:$K$44,2,0)," ")</f>
        <v>Servicio de atención a incidentes y emergencias.</v>
      </c>
      <c r="U329" s="249" t="str">
        <f>CONCATENATE(S329,"-",T329)</f>
        <v>04-Servicio de atención a incidentes y emergencias.</v>
      </c>
      <c r="V329" s="51" t="s">
        <v>232</v>
      </c>
      <c r="W329" s="248" t="str">
        <f>IFERROR(VLOOKUP(V329,TD!$N$34:$O$46,2,0)," ")</f>
        <v>Servicio de atención a emergencias y desastres</v>
      </c>
      <c r="X329" s="249" t="str">
        <f>CONCATENATE(V329,"_",W329)</f>
        <v>004_Servicio de atención a emergencias y desastres</v>
      </c>
      <c r="Y329" s="249" t="str">
        <f>CONCATENATE(U329," ",X329)</f>
        <v>04-Servicio de atención a incidentes y emergencias. 004_Servicio de atención a emergencias y desastres</v>
      </c>
      <c r="Z329" s="248" t="str">
        <f>CONCATENATE(P329,Q329,R329,S329,V329)</f>
        <v>O23011745032024025504004</v>
      </c>
      <c r="AA329" s="248" t="str">
        <f>IFERROR(VLOOKUP(Y329,TD!$K$47:$L$65,2,0)," ")</f>
        <v>PM/0131/0104/45030040255</v>
      </c>
      <c r="AB329" s="53" t="s">
        <v>138</v>
      </c>
      <c r="AC329" s="250" t="s">
        <v>204</v>
      </c>
    </row>
    <row r="330" spans="2:29" s="28" customFormat="1" ht="56" x14ac:dyDescent="0.35">
      <c r="B330" s="77">
        <v>20250344</v>
      </c>
      <c r="C330" s="50" t="s">
        <v>209</v>
      </c>
      <c r="D330" s="246" t="s">
        <v>169</v>
      </c>
      <c r="E330" s="51" t="s">
        <v>465</v>
      </c>
      <c r="F330" s="246" t="s">
        <v>546</v>
      </c>
      <c r="G330" s="246" t="s">
        <v>155</v>
      </c>
      <c r="H330" s="93">
        <v>80111600</v>
      </c>
      <c r="I330" s="247">
        <v>2</v>
      </c>
      <c r="J330" s="247">
        <v>6</v>
      </c>
      <c r="K330" s="52">
        <v>0</v>
      </c>
      <c r="L330" s="53">
        <v>36000000</v>
      </c>
      <c r="M330" s="246" t="s">
        <v>464</v>
      </c>
      <c r="N330" s="53" t="s">
        <v>113</v>
      </c>
      <c r="O330" s="51" t="s">
        <v>222</v>
      </c>
      <c r="P330" s="248" t="str">
        <f>IFERROR(VLOOKUP(C330,TD!$B$33:$F$37,2,0)," ")</f>
        <v>O230117</v>
      </c>
      <c r="Q330" s="248" t="str">
        <f>IFERROR(VLOOKUP(C330,TD!$B$33:$F$37,3,0)," ")</f>
        <v>4503</v>
      </c>
      <c r="R330" s="248">
        <f>IFERROR(VLOOKUP(C330,TD!$B$33:$F$37,4,0)," ")</f>
        <v>20240255</v>
      </c>
      <c r="S330" s="51" t="s">
        <v>175</v>
      </c>
      <c r="T330" s="248" t="str">
        <f>IFERROR(VLOOKUP(S330,TD!$J$34:$K$44,2,0)," ")</f>
        <v>Servicio de atención a incidentes y emergencias.</v>
      </c>
      <c r="U330" s="249" t="str">
        <f>CONCATENATE(S330,"-",T330)</f>
        <v>04-Servicio de atención a incidentes y emergencias.</v>
      </c>
      <c r="V330" s="51" t="s">
        <v>232</v>
      </c>
      <c r="W330" s="248" t="str">
        <f>IFERROR(VLOOKUP(V330,TD!$N$34:$O$46,2,0)," ")</f>
        <v>Servicio de atención a emergencias y desastres</v>
      </c>
      <c r="X330" s="249" t="str">
        <f>CONCATENATE(V330,"_",W330)</f>
        <v>004_Servicio de atención a emergencias y desastres</v>
      </c>
      <c r="Y330" s="249" t="str">
        <f>CONCATENATE(U330," ",X330)</f>
        <v>04-Servicio de atención a incidentes y emergencias. 004_Servicio de atención a emergencias y desastres</v>
      </c>
      <c r="Z330" s="248" t="str">
        <f>CONCATENATE(P330,Q330,R330,S330,V330)</f>
        <v>O23011745032024025504004</v>
      </c>
      <c r="AA330" s="248" t="str">
        <f>IFERROR(VLOOKUP(Y330,TD!$K$47:$L$65,2,0)," ")</f>
        <v>PM/0131/0104/45030040255</v>
      </c>
      <c r="AB330" s="53" t="s">
        <v>138</v>
      </c>
      <c r="AC330" s="250" t="s">
        <v>204</v>
      </c>
    </row>
    <row r="331" spans="2:29" s="28" customFormat="1" ht="56" x14ac:dyDescent="0.35">
      <c r="B331" s="77">
        <v>20250345</v>
      </c>
      <c r="C331" s="50" t="s">
        <v>209</v>
      </c>
      <c r="D331" s="246" t="s">
        <v>169</v>
      </c>
      <c r="E331" s="51" t="s">
        <v>465</v>
      </c>
      <c r="F331" s="246" t="s">
        <v>546</v>
      </c>
      <c r="G331" s="246" t="s">
        <v>155</v>
      </c>
      <c r="H331" s="93">
        <v>80111600</v>
      </c>
      <c r="I331" s="247">
        <v>4</v>
      </c>
      <c r="J331" s="247">
        <v>6</v>
      </c>
      <c r="K331" s="52">
        <v>0</v>
      </c>
      <c r="L331" s="53">
        <v>36000000</v>
      </c>
      <c r="M331" s="246" t="s">
        <v>464</v>
      </c>
      <c r="N331" s="53" t="s">
        <v>113</v>
      </c>
      <c r="O331" s="51" t="s">
        <v>222</v>
      </c>
      <c r="P331" s="248" t="str">
        <f>IFERROR(VLOOKUP(C331,TD!$B$33:$F$37,2,0)," ")</f>
        <v>O230117</v>
      </c>
      <c r="Q331" s="248" t="str">
        <f>IFERROR(VLOOKUP(C331,TD!$B$33:$F$37,3,0)," ")</f>
        <v>4503</v>
      </c>
      <c r="R331" s="248">
        <f>IFERROR(VLOOKUP(C331,TD!$B$33:$F$37,4,0)," ")</f>
        <v>20240255</v>
      </c>
      <c r="S331" s="51" t="s">
        <v>175</v>
      </c>
      <c r="T331" s="248" t="str">
        <f>IFERROR(VLOOKUP(S331,TD!$J$34:$K$44,2,0)," ")</f>
        <v>Servicio de atención a incidentes y emergencias.</v>
      </c>
      <c r="U331" s="249" t="str">
        <f>CONCATENATE(S331,"-",T331)</f>
        <v>04-Servicio de atención a incidentes y emergencias.</v>
      </c>
      <c r="V331" s="51" t="s">
        <v>232</v>
      </c>
      <c r="W331" s="248" t="str">
        <f>IFERROR(VLOOKUP(V331,TD!$N$34:$O$46,2,0)," ")</f>
        <v>Servicio de atención a emergencias y desastres</v>
      </c>
      <c r="X331" s="249" t="str">
        <f>CONCATENATE(V331,"_",W331)</f>
        <v>004_Servicio de atención a emergencias y desastres</v>
      </c>
      <c r="Y331" s="249" t="str">
        <f>CONCATENATE(U331," ",X331)</f>
        <v>04-Servicio de atención a incidentes y emergencias. 004_Servicio de atención a emergencias y desastres</v>
      </c>
      <c r="Z331" s="248" t="str">
        <f>CONCATENATE(P331,Q331,R331,S331,V331)</f>
        <v>O23011745032024025504004</v>
      </c>
      <c r="AA331" s="248" t="str">
        <f>IFERROR(VLOOKUP(Y331,TD!$K$47:$L$65,2,0)," ")</f>
        <v>PM/0131/0104/45030040255</v>
      </c>
      <c r="AB331" s="53" t="s">
        <v>138</v>
      </c>
      <c r="AC331" s="250" t="s">
        <v>204</v>
      </c>
    </row>
    <row r="332" spans="2:29" s="28" customFormat="1" ht="84" x14ac:dyDescent="0.35">
      <c r="B332" s="77">
        <v>20250350</v>
      </c>
      <c r="C332" s="110" t="s">
        <v>346</v>
      </c>
      <c r="D332" s="285" t="s">
        <v>169</v>
      </c>
      <c r="E332" s="51" t="s">
        <v>465</v>
      </c>
      <c r="F332" s="285" t="s">
        <v>602</v>
      </c>
      <c r="G332" s="285" t="s">
        <v>109</v>
      </c>
      <c r="H332" s="93">
        <v>53102710</v>
      </c>
      <c r="I332" s="247">
        <v>2</v>
      </c>
      <c r="J332" s="287">
        <v>6</v>
      </c>
      <c r="K332" s="111">
        <v>0</v>
      </c>
      <c r="L332" s="112">
        <v>250050000</v>
      </c>
      <c r="M332" s="285" t="s">
        <v>172</v>
      </c>
      <c r="N332" s="112" t="s">
        <v>95</v>
      </c>
      <c r="O332" s="286" t="s">
        <v>347</v>
      </c>
      <c r="P332" s="288" t="str">
        <f>IFERROR(VLOOKUP(C332,TD!$B$33:$F$37,2,0)," ")</f>
        <v>NA</v>
      </c>
      <c r="Q332" s="288" t="str">
        <f>IFERROR(VLOOKUP(C332,TD!$B$33:$F$37,3,0)," ")</f>
        <v>NA</v>
      </c>
      <c r="R332" s="288" t="str">
        <f>IFERROR(VLOOKUP(C332,TD!$B$33:$F$37,4,0)," ")</f>
        <v>NA</v>
      </c>
      <c r="S332" s="286" t="s">
        <v>406</v>
      </c>
      <c r="T332" s="248" t="str">
        <f>IFERROR(VLOOKUP(S332,TD!$J$34:$K$44,2,0)," ")</f>
        <v>N/A</v>
      </c>
      <c r="U332" s="249" t="str">
        <f>CONCATENATE(S332,"-",T332)</f>
        <v>N/A-N/A</v>
      </c>
      <c r="V332" s="51" t="s">
        <v>406</v>
      </c>
      <c r="W332" s="248" t="str">
        <f>IFERROR(VLOOKUP(V332,TD!$N$34:$O$46,2,0)," ")</f>
        <v>N/A</v>
      </c>
      <c r="X332" s="249" t="str">
        <f>CONCATENATE(V332,"_",W332)</f>
        <v>N/A_N/A</v>
      </c>
      <c r="Y332" s="249" t="str">
        <f>CONCATENATE(U332," ",X332)</f>
        <v>N/A-N/A N/A_N/A</v>
      </c>
      <c r="Z332" s="288" t="str">
        <f>CONCATENATE(P332,Q332,R332,S332,V332)</f>
        <v>NANANAN/AN/A</v>
      </c>
      <c r="AA332" s="248" t="str">
        <f>IFERROR(VLOOKUP(Y332,TD!$K$47:$L$65,2,0)," ")</f>
        <v>N/A</v>
      </c>
      <c r="AB332" s="112" t="s">
        <v>603</v>
      </c>
      <c r="AC332" s="289" t="s">
        <v>204</v>
      </c>
    </row>
    <row r="333" spans="2:29" s="28" customFormat="1" ht="70" x14ac:dyDescent="0.35">
      <c r="B333" s="77">
        <v>20250351</v>
      </c>
      <c r="C333" s="50" t="s">
        <v>208</v>
      </c>
      <c r="D333" s="246" t="s">
        <v>162</v>
      </c>
      <c r="E333" s="51" t="s">
        <v>355</v>
      </c>
      <c r="F333" s="246" t="s">
        <v>766</v>
      </c>
      <c r="G333" s="246" t="s">
        <v>155</v>
      </c>
      <c r="H333" s="93">
        <v>80111600</v>
      </c>
      <c r="I333" s="247">
        <v>2</v>
      </c>
      <c r="J333" s="247">
        <v>11</v>
      </c>
      <c r="K333" s="52">
        <v>0</v>
      </c>
      <c r="L333" s="53">
        <v>104500000</v>
      </c>
      <c r="M333" s="246" t="s">
        <v>464</v>
      </c>
      <c r="N333" s="53" t="s">
        <v>113</v>
      </c>
      <c r="O333" s="51" t="s">
        <v>215</v>
      </c>
      <c r="P333" s="248" t="str">
        <f>IFERROR(VLOOKUP(C333,TD!$B$33:$F$37,2,0)," ")</f>
        <v>O230117</v>
      </c>
      <c r="Q333" s="248" t="str">
        <f>IFERROR(VLOOKUP(C333,TD!$B$33:$F$37,3,0)," ")</f>
        <v>4599</v>
      </c>
      <c r="R333" s="248">
        <f>IFERROR(VLOOKUP(C333,TD!$B$33:$F$37,4,0)," ")</f>
        <v>20240207</v>
      </c>
      <c r="S333" s="51" t="s">
        <v>179</v>
      </c>
      <c r="T333" s="248" t="str">
        <f>IFERROR(VLOOKUP(S333,TD!$J$34:$K$44,2,0)," ")</f>
        <v>Infraestructura Tecnológica   (Sistemas de Información y Tecnologia)</v>
      </c>
      <c r="U333" s="249" t="str">
        <f>CONCATENATE(S333,"-",T333)</f>
        <v>11-Infraestructura Tecnológica   (Sistemas de Información y Tecnologia)</v>
      </c>
      <c r="V333" s="51" t="s">
        <v>239</v>
      </c>
      <c r="W333" s="248" t="str">
        <f>IFERROR(VLOOKUP(V333,TD!$N$34:$O$46,2,0)," ")</f>
        <v>Servicios tecnológicos</v>
      </c>
      <c r="X333" s="249" t="str">
        <f>CONCATENATE(V333,"_",W333)</f>
        <v>007_Servicios tecnológicos</v>
      </c>
      <c r="Y333" s="249" t="str">
        <f>CONCATENATE(U333," ",X333)</f>
        <v>11-Infraestructura Tecnológica   (Sistemas de Información y Tecnologia) 007_Servicios tecnológicos</v>
      </c>
      <c r="Z333" s="248" t="str">
        <f>CONCATENATE(P333,Q333,R333,S333,V333)</f>
        <v>O23011745992024020711007</v>
      </c>
      <c r="AA333" s="248" t="str">
        <f>IFERROR(VLOOKUP(Y333,TD!$K$47:$L$65,2,0)," ")</f>
        <v>PM/0131/0111/45990070207</v>
      </c>
      <c r="AB333" s="53" t="s">
        <v>138</v>
      </c>
      <c r="AC333" s="250" t="s">
        <v>204</v>
      </c>
    </row>
    <row r="334" spans="2:29" s="28" customFormat="1" ht="70" x14ac:dyDescent="0.35">
      <c r="B334" s="127">
        <v>20250352</v>
      </c>
      <c r="C334" s="129" t="s">
        <v>208</v>
      </c>
      <c r="D334" s="251" t="s">
        <v>162</v>
      </c>
      <c r="E334" s="252" t="s">
        <v>355</v>
      </c>
      <c r="F334" s="251" t="s">
        <v>767</v>
      </c>
      <c r="G334" s="251" t="s">
        <v>155</v>
      </c>
      <c r="H334" s="130">
        <v>80111600</v>
      </c>
      <c r="I334" s="253">
        <v>2</v>
      </c>
      <c r="J334" s="253">
        <v>11</v>
      </c>
      <c r="K334" s="126">
        <v>0</v>
      </c>
      <c r="L334" s="125">
        <v>37500000</v>
      </c>
      <c r="M334" s="251" t="s">
        <v>464</v>
      </c>
      <c r="N334" s="125" t="s">
        <v>113</v>
      </c>
      <c r="O334" s="252" t="s">
        <v>216</v>
      </c>
      <c r="P334" s="254" t="str">
        <f>IFERROR(VLOOKUP(C334,TD!$B$33:$F$37,2,0)," ")</f>
        <v>O230117</v>
      </c>
      <c r="Q334" s="254" t="str">
        <f>IFERROR(VLOOKUP(C334,TD!$B$33:$F$37,3,0)," ")</f>
        <v>4599</v>
      </c>
      <c r="R334" s="254">
        <f>IFERROR(VLOOKUP(C334,TD!$B$33:$F$37,4,0)," ")</f>
        <v>20240207</v>
      </c>
      <c r="S334" s="252" t="s">
        <v>179</v>
      </c>
      <c r="T334" s="254" t="str">
        <f>IFERROR(VLOOKUP(S334,TD!$J$34:$K$44,2,0)," ")</f>
        <v>Infraestructura Tecnológica   (Sistemas de Información y Tecnologia)</v>
      </c>
      <c r="U334" s="249" t="str">
        <f>CONCATENATE(S334,"-",T334)</f>
        <v>11-Infraestructura Tecnológica   (Sistemas de Información y Tecnologia)</v>
      </c>
      <c r="V334" s="252" t="s">
        <v>239</v>
      </c>
      <c r="W334" s="254" t="str">
        <f>IFERROR(VLOOKUP(V334,TD!$N$34:$O$46,2,0)," ")</f>
        <v>Servicios tecnológicos</v>
      </c>
      <c r="X334" s="249" t="str">
        <f>CONCATENATE(V334,"_",W334)</f>
        <v>007_Servicios tecnológicos</v>
      </c>
      <c r="Y334" s="249" t="str">
        <f>CONCATENATE(U334," ",X334)</f>
        <v>11-Infraestructura Tecnológica   (Sistemas de Información y Tecnologia) 007_Servicios tecnológicos</v>
      </c>
      <c r="Z334" s="254" t="str">
        <f>CONCATENATE(P334,Q334,R334,S334,V334)</f>
        <v>O23011745992024020711007</v>
      </c>
      <c r="AA334" s="254" t="str">
        <f>IFERROR(VLOOKUP(Y334,TD!$K$47:$L$65,2,0)," ")</f>
        <v>PM/0131/0111/45990070207</v>
      </c>
      <c r="AB334" s="125" t="s">
        <v>138</v>
      </c>
      <c r="AC334" s="255" t="s">
        <v>204</v>
      </c>
    </row>
    <row r="335" spans="2:29" s="28" customFormat="1" ht="98" x14ac:dyDescent="0.35">
      <c r="B335" s="127">
        <v>20250353</v>
      </c>
      <c r="C335" s="129" t="s">
        <v>208</v>
      </c>
      <c r="D335" s="251" t="s">
        <v>162</v>
      </c>
      <c r="E335" s="252" t="s">
        <v>355</v>
      </c>
      <c r="F335" s="251" t="s">
        <v>768</v>
      </c>
      <c r="G335" s="251" t="s">
        <v>155</v>
      </c>
      <c r="H335" s="130">
        <v>80111600</v>
      </c>
      <c r="I335" s="253">
        <v>2</v>
      </c>
      <c r="J335" s="253">
        <v>11</v>
      </c>
      <c r="K335" s="126">
        <v>0</v>
      </c>
      <c r="L335" s="125">
        <v>39000000</v>
      </c>
      <c r="M335" s="251" t="s">
        <v>464</v>
      </c>
      <c r="N335" s="125" t="s">
        <v>113</v>
      </c>
      <c r="O335" s="252" t="s">
        <v>215</v>
      </c>
      <c r="P335" s="254" t="str">
        <f>IFERROR(VLOOKUP(C335,TD!$B$33:$F$37,2,0)," ")</f>
        <v>O230117</v>
      </c>
      <c r="Q335" s="254" t="str">
        <f>IFERROR(VLOOKUP(C335,TD!$B$33:$F$37,3,0)," ")</f>
        <v>4599</v>
      </c>
      <c r="R335" s="254">
        <f>IFERROR(VLOOKUP(C335,TD!$B$33:$F$37,4,0)," ")</f>
        <v>20240207</v>
      </c>
      <c r="S335" s="252" t="s">
        <v>179</v>
      </c>
      <c r="T335" s="254" t="str">
        <f>IFERROR(VLOOKUP(S335,TD!$J$34:$K$44,2,0)," ")</f>
        <v>Infraestructura Tecnológica   (Sistemas de Información y Tecnologia)</v>
      </c>
      <c r="U335" s="249" t="str">
        <f>CONCATENATE(S335,"-",T335)</f>
        <v>11-Infraestructura Tecnológica   (Sistemas de Información y Tecnologia)</v>
      </c>
      <c r="V335" s="252" t="s">
        <v>239</v>
      </c>
      <c r="W335" s="254" t="str">
        <f>IFERROR(VLOOKUP(V335,TD!$N$34:$O$46,2,0)," ")</f>
        <v>Servicios tecnológicos</v>
      </c>
      <c r="X335" s="249" t="str">
        <f>CONCATENATE(V335,"_",W335)</f>
        <v>007_Servicios tecnológicos</v>
      </c>
      <c r="Y335" s="249" t="str">
        <f>CONCATENATE(U335," ",X335)</f>
        <v>11-Infraestructura Tecnológica   (Sistemas de Información y Tecnologia) 007_Servicios tecnológicos</v>
      </c>
      <c r="Z335" s="254" t="str">
        <f>CONCATENATE(P335,Q335,R335,S335,V335)</f>
        <v>O23011745992024020711007</v>
      </c>
      <c r="AA335" s="254" t="str">
        <f>IFERROR(VLOOKUP(Y335,TD!$K$47:$L$65,2,0)," ")</f>
        <v>PM/0131/0111/45990070207</v>
      </c>
      <c r="AB335" s="125" t="s">
        <v>120</v>
      </c>
      <c r="AC335" s="255" t="s">
        <v>204</v>
      </c>
    </row>
    <row r="336" spans="2:29" s="28" customFormat="1" ht="56" x14ac:dyDescent="0.35">
      <c r="B336" s="127">
        <v>20250354</v>
      </c>
      <c r="C336" s="129" t="s">
        <v>208</v>
      </c>
      <c r="D336" s="251" t="s">
        <v>162</v>
      </c>
      <c r="E336" s="252" t="s">
        <v>355</v>
      </c>
      <c r="F336" s="251" t="s">
        <v>408</v>
      </c>
      <c r="G336" s="251" t="s">
        <v>155</v>
      </c>
      <c r="H336" s="130">
        <v>80111600</v>
      </c>
      <c r="I336" s="253">
        <v>2</v>
      </c>
      <c r="J336" s="253">
        <v>11</v>
      </c>
      <c r="K336" s="126">
        <v>0</v>
      </c>
      <c r="L336" s="125">
        <v>37250000</v>
      </c>
      <c r="M336" s="251" t="s">
        <v>464</v>
      </c>
      <c r="N336" s="125" t="s">
        <v>113</v>
      </c>
      <c r="O336" s="252" t="s">
        <v>214</v>
      </c>
      <c r="P336" s="254" t="str">
        <f>IFERROR(VLOOKUP(C336,TD!$B$33:$F$37,2,0)," ")</f>
        <v>O230117</v>
      </c>
      <c r="Q336" s="254" t="str">
        <f>IFERROR(VLOOKUP(C336,TD!$B$33:$F$37,3,0)," ")</f>
        <v>4599</v>
      </c>
      <c r="R336" s="254">
        <f>IFERROR(VLOOKUP(C336,TD!$B$33:$F$37,4,0)," ")</f>
        <v>20240207</v>
      </c>
      <c r="S336" s="252" t="s">
        <v>179</v>
      </c>
      <c r="T336" s="254" t="str">
        <f>IFERROR(VLOOKUP(S336,TD!$J$34:$K$44,2,0)," ")</f>
        <v>Infraestructura Tecnológica   (Sistemas de Información y Tecnologia)</v>
      </c>
      <c r="U336" s="249" t="str">
        <f>CONCATENATE(S336,"-",T336)</f>
        <v>11-Infraestructura Tecnológica   (Sistemas de Información y Tecnologia)</v>
      </c>
      <c r="V336" s="252" t="s">
        <v>239</v>
      </c>
      <c r="W336" s="254" t="str">
        <f>IFERROR(VLOOKUP(V336,TD!$N$34:$O$46,2,0)," ")</f>
        <v>Servicios tecnológicos</v>
      </c>
      <c r="X336" s="249" t="str">
        <f>CONCATENATE(V336,"_",W336)</f>
        <v>007_Servicios tecnológicos</v>
      </c>
      <c r="Y336" s="249" t="str">
        <f>CONCATENATE(U336," ",X336)</f>
        <v>11-Infraestructura Tecnológica   (Sistemas de Información y Tecnologia) 007_Servicios tecnológicos</v>
      </c>
      <c r="Z336" s="254" t="str">
        <f>CONCATENATE(P336,Q336,R336,S336,V336)</f>
        <v>O23011745992024020711007</v>
      </c>
      <c r="AA336" s="254" t="str">
        <f>IFERROR(VLOOKUP(Y336,TD!$K$47:$L$65,2,0)," ")</f>
        <v>PM/0131/0111/45990070207</v>
      </c>
      <c r="AB336" s="125" t="s">
        <v>138</v>
      </c>
      <c r="AC336" s="255" t="s">
        <v>204</v>
      </c>
    </row>
    <row r="337" spans="2:29" s="28" customFormat="1" ht="84" x14ac:dyDescent="0.35">
      <c r="B337" s="127">
        <v>20250355</v>
      </c>
      <c r="C337" s="129" t="s">
        <v>208</v>
      </c>
      <c r="D337" s="251" t="s">
        <v>162</v>
      </c>
      <c r="E337" s="252" t="s">
        <v>355</v>
      </c>
      <c r="F337" s="251" t="s">
        <v>409</v>
      </c>
      <c r="G337" s="251" t="s">
        <v>155</v>
      </c>
      <c r="H337" s="130">
        <v>80111600</v>
      </c>
      <c r="I337" s="253">
        <v>2</v>
      </c>
      <c r="J337" s="253">
        <v>11</v>
      </c>
      <c r="K337" s="126">
        <v>0</v>
      </c>
      <c r="L337" s="125">
        <v>49680000</v>
      </c>
      <c r="M337" s="251" t="s">
        <v>464</v>
      </c>
      <c r="N337" s="125" t="s">
        <v>113</v>
      </c>
      <c r="O337" s="252" t="s">
        <v>215</v>
      </c>
      <c r="P337" s="254" t="str">
        <f>IFERROR(VLOOKUP(C337,TD!$B$33:$F$37,2,0)," ")</f>
        <v>O230117</v>
      </c>
      <c r="Q337" s="254" t="str">
        <f>IFERROR(VLOOKUP(C337,TD!$B$33:$F$37,3,0)," ")</f>
        <v>4599</v>
      </c>
      <c r="R337" s="254">
        <f>IFERROR(VLOOKUP(C337,TD!$B$33:$F$37,4,0)," ")</f>
        <v>20240207</v>
      </c>
      <c r="S337" s="252" t="s">
        <v>179</v>
      </c>
      <c r="T337" s="254" t="str">
        <f>IFERROR(VLOOKUP(S337,TD!$J$34:$K$44,2,0)," ")</f>
        <v>Infraestructura Tecnológica   (Sistemas de Información y Tecnologia)</v>
      </c>
      <c r="U337" s="249" t="str">
        <f>CONCATENATE(S337,"-",T337)</f>
        <v>11-Infraestructura Tecnológica   (Sistemas de Información y Tecnologia)</v>
      </c>
      <c r="V337" s="252" t="s">
        <v>239</v>
      </c>
      <c r="W337" s="254" t="str">
        <f>IFERROR(VLOOKUP(V337,TD!$N$34:$O$46,2,0)," ")</f>
        <v>Servicios tecnológicos</v>
      </c>
      <c r="X337" s="249" t="str">
        <f>CONCATENATE(V337,"_",W337)</f>
        <v>007_Servicios tecnológicos</v>
      </c>
      <c r="Y337" s="249" t="str">
        <f>CONCATENATE(U337," ",X337)</f>
        <v>11-Infraestructura Tecnológica   (Sistemas de Información y Tecnologia) 007_Servicios tecnológicos</v>
      </c>
      <c r="Z337" s="254" t="str">
        <f>CONCATENATE(P337,Q337,R337,S337,V337)</f>
        <v>O23011745992024020711007</v>
      </c>
      <c r="AA337" s="254" t="str">
        <f>IFERROR(VLOOKUP(Y337,TD!$K$47:$L$65,2,0)," ")</f>
        <v>PM/0131/0111/45990070207</v>
      </c>
      <c r="AB337" s="125" t="s">
        <v>138</v>
      </c>
      <c r="AC337" s="255" t="s">
        <v>204</v>
      </c>
    </row>
    <row r="338" spans="2:29" s="28" customFormat="1" ht="56" x14ac:dyDescent="0.35">
      <c r="B338" s="127">
        <v>20250356</v>
      </c>
      <c r="C338" s="129" t="s">
        <v>208</v>
      </c>
      <c r="D338" s="251" t="s">
        <v>162</v>
      </c>
      <c r="E338" s="252" t="s">
        <v>355</v>
      </c>
      <c r="F338" s="251" t="s">
        <v>769</v>
      </c>
      <c r="G338" s="251" t="s">
        <v>156</v>
      </c>
      <c r="H338" s="130">
        <v>80111600</v>
      </c>
      <c r="I338" s="253">
        <v>2</v>
      </c>
      <c r="J338" s="253">
        <v>11</v>
      </c>
      <c r="K338" s="126">
        <v>0</v>
      </c>
      <c r="L338" s="125">
        <v>40500000</v>
      </c>
      <c r="M338" s="251" t="s">
        <v>464</v>
      </c>
      <c r="N338" s="125" t="s">
        <v>113</v>
      </c>
      <c r="O338" s="252" t="s">
        <v>217</v>
      </c>
      <c r="P338" s="254" t="str">
        <f>IFERROR(VLOOKUP(C338,TD!$B$33:$F$37,2,0)," ")</f>
        <v>O230117</v>
      </c>
      <c r="Q338" s="254" t="str">
        <f>IFERROR(VLOOKUP(C338,TD!$B$33:$F$37,3,0)," ")</f>
        <v>4599</v>
      </c>
      <c r="R338" s="254">
        <f>IFERROR(VLOOKUP(C338,TD!$B$33:$F$37,4,0)," ")</f>
        <v>20240207</v>
      </c>
      <c r="S338" s="252" t="s">
        <v>179</v>
      </c>
      <c r="T338" s="254" t="str">
        <f>IFERROR(VLOOKUP(S338,TD!$J$34:$K$44,2,0)," ")</f>
        <v>Infraestructura Tecnológica   (Sistemas de Información y Tecnologia)</v>
      </c>
      <c r="U338" s="249" t="str">
        <f>CONCATENATE(S338,"-",T338)</f>
        <v>11-Infraestructura Tecnológica   (Sistemas de Información y Tecnologia)</v>
      </c>
      <c r="V338" s="252" t="s">
        <v>239</v>
      </c>
      <c r="W338" s="254" t="str">
        <f>IFERROR(VLOOKUP(V338,TD!$N$34:$O$46,2,0)," ")</f>
        <v>Servicios tecnológicos</v>
      </c>
      <c r="X338" s="249" t="str">
        <f>CONCATENATE(V338,"_",W338)</f>
        <v>007_Servicios tecnológicos</v>
      </c>
      <c r="Y338" s="249" t="str">
        <f>CONCATENATE(U338," ",X338)</f>
        <v>11-Infraestructura Tecnológica   (Sistemas de Información y Tecnologia) 007_Servicios tecnológicos</v>
      </c>
      <c r="Z338" s="254" t="str">
        <f>CONCATENATE(P338,Q338,R338,S338,V338)</f>
        <v>O23011745992024020711007</v>
      </c>
      <c r="AA338" s="254" t="str">
        <f>IFERROR(VLOOKUP(Y338,TD!$K$47:$L$65,2,0)," ")</f>
        <v>PM/0131/0111/45990070207</v>
      </c>
      <c r="AB338" s="125" t="s">
        <v>138</v>
      </c>
      <c r="AC338" s="255" t="s">
        <v>204</v>
      </c>
    </row>
    <row r="339" spans="2:29" s="28" customFormat="1" ht="56" x14ac:dyDescent="0.35">
      <c r="B339" s="77">
        <v>20250357</v>
      </c>
      <c r="C339" s="50" t="s">
        <v>208</v>
      </c>
      <c r="D339" s="246" t="s">
        <v>162</v>
      </c>
      <c r="E339" s="51" t="s">
        <v>355</v>
      </c>
      <c r="F339" s="246" t="s">
        <v>770</v>
      </c>
      <c r="G339" s="246" t="s">
        <v>155</v>
      </c>
      <c r="H339" s="93">
        <v>80111600</v>
      </c>
      <c r="I339" s="247">
        <v>2</v>
      </c>
      <c r="J339" s="52">
        <v>11</v>
      </c>
      <c r="K339" s="52">
        <v>0</v>
      </c>
      <c r="L339" s="53">
        <v>10430000</v>
      </c>
      <c r="M339" s="246" t="s">
        <v>464</v>
      </c>
      <c r="N339" s="53" t="s">
        <v>113</v>
      </c>
      <c r="O339" s="51" t="s">
        <v>215</v>
      </c>
      <c r="P339" s="248" t="str">
        <f>IFERROR(VLOOKUP(C339,TD!$B$33:$F$37,2,0)," ")</f>
        <v>O230117</v>
      </c>
      <c r="Q339" s="248" t="str">
        <f>IFERROR(VLOOKUP(C339,TD!$B$33:$F$37,3,0)," ")</f>
        <v>4599</v>
      </c>
      <c r="R339" s="248">
        <f>IFERROR(VLOOKUP(C339,TD!$B$33:$F$37,4,0)," ")</f>
        <v>20240207</v>
      </c>
      <c r="S339" s="51" t="s">
        <v>179</v>
      </c>
      <c r="T339" s="248" t="str">
        <f>IFERROR(VLOOKUP(S339,TD!$J$34:$K$44,2,0)," ")</f>
        <v>Infraestructura Tecnológica   (Sistemas de Información y Tecnologia)</v>
      </c>
      <c r="U339" s="249" t="str">
        <f>CONCATENATE(S339,"-",T339)</f>
        <v>11-Infraestructura Tecnológica   (Sistemas de Información y Tecnologia)</v>
      </c>
      <c r="V339" s="51" t="s">
        <v>239</v>
      </c>
      <c r="W339" s="248" t="str">
        <f>IFERROR(VLOOKUP(V339,TD!$N$34:$O$46,2,0)," ")</f>
        <v>Servicios tecnológicos</v>
      </c>
      <c r="X339" s="249" t="str">
        <f>CONCATENATE(V339,"_",W339)</f>
        <v>007_Servicios tecnológicos</v>
      </c>
      <c r="Y339" s="249" t="str">
        <f>CONCATENATE(U339," ",X339)</f>
        <v>11-Infraestructura Tecnológica   (Sistemas de Información y Tecnologia) 007_Servicios tecnológicos</v>
      </c>
      <c r="Z339" s="248" t="str">
        <f>CONCATENATE(P339,Q339,R339,S339,V339)</f>
        <v>O23011745992024020711007</v>
      </c>
      <c r="AA339" s="248" t="str">
        <f>IFERROR(VLOOKUP(Y339,TD!$K$47:$L$65,2,0)," ")</f>
        <v>PM/0131/0111/45990070207</v>
      </c>
      <c r="AB339" s="53" t="s">
        <v>138</v>
      </c>
      <c r="AC339" s="250" t="s">
        <v>204</v>
      </c>
    </row>
    <row r="340" spans="2:29" s="28" customFormat="1" ht="70" x14ac:dyDescent="0.35">
      <c r="B340" s="127">
        <v>20250358</v>
      </c>
      <c r="C340" s="129" t="s">
        <v>208</v>
      </c>
      <c r="D340" s="251" t="s">
        <v>162</v>
      </c>
      <c r="E340" s="252" t="s">
        <v>355</v>
      </c>
      <c r="F340" s="251" t="s">
        <v>771</v>
      </c>
      <c r="G340" s="251" t="s">
        <v>155</v>
      </c>
      <c r="H340" s="130">
        <v>80111600</v>
      </c>
      <c r="I340" s="253">
        <v>2</v>
      </c>
      <c r="J340" s="126">
        <v>11</v>
      </c>
      <c r="K340" s="126">
        <v>0</v>
      </c>
      <c r="L340" s="125">
        <v>37250000</v>
      </c>
      <c r="M340" s="251" t="s">
        <v>464</v>
      </c>
      <c r="N340" s="125" t="s">
        <v>113</v>
      </c>
      <c r="O340" s="252" t="s">
        <v>214</v>
      </c>
      <c r="P340" s="254" t="str">
        <f>IFERROR(VLOOKUP(C340,TD!$B$33:$F$37,2,0)," ")</f>
        <v>O230117</v>
      </c>
      <c r="Q340" s="254" t="str">
        <f>IFERROR(VLOOKUP(C340,TD!$B$33:$F$37,3,0)," ")</f>
        <v>4599</v>
      </c>
      <c r="R340" s="254">
        <f>IFERROR(VLOOKUP(C340,TD!$B$33:$F$37,4,0)," ")</f>
        <v>20240207</v>
      </c>
      <c r="S340" s="252" t="s">
        <v>179</v>
      </c>
      <c r="T340" s="254" t="str">
        <f>IFERROR(VLOOKUP(S340,TD!$J$34:$K$44,2,0)," ")</f>
        <v>Infraestructura Tecnológica   (Sistemas de Información y Tecnologia)</v>
      </c>
      <c r="U340" s="249" t="str">
        <f>CONCATENATE(S340,"-",T340)</f>
        <v>11-Infraestructura Tecnológica   (Sistemas de Información y Tecnologia)</v>
      </c>
      <c r="V340" s="252" t="s">
        <v>239</v>
      </c>
      <c r="W340" s="254" t="str">
        <f>IFERROR(VLOOKUP(V340,TD!$N$34:$O$46,2,0)," ")</f>
        <v>Servicios tecnológicos</v>
      </c>
      <c r="X340" s="249" t="str">
        <f>CONCATENATE(V340,"_",W340)</f>
        <v>007_Servicios tecnológicos</v>
      </c>
      <c r="Y340" s="249" t="str">
        <f>CONCATENATE(U340," ",X340)</f>
        <v>11-Infraestructura Tecnológica   (Sistemas de Información y Tecnologia) 007_Servicios tecnológicos</v>
      </c>
      <c r="Z340" s="254" t="str">
        <f>CONCATENATE(P340,Q340,R340,S340,V340)</f>
        <v>O23011745992024020711007</v>
      </c>
      <c r="AA340" s="254" t="str">
        <f>IFERROR(VLOOKUP(Y340,TD!$K$47:$L$65,2,0)," ")</f>
        <v>PM/0131/0111/45990070207</v>
      </c>
      <c r="AB340" s="125" t="s">
        <v>138</v>
      </c>
      <c r="AC340" s="255" t="s">
        <v>204</v>
      </c>
    </row>
    <row r="341" spans="2:29" s="28" customFormat="1" ht="70" x14ac:dyDescent="0.35">
      <c r="B341" s="127">
        <v>20250359</v>
      </c>
      <c r="C341" s="129" t="s">
        <v>208</v>
      </c>
      <c r="D341" s="251" t="s">
        <v>162</v>
      </c>
      <c r="E341" s="252" t="s">
        <v>355</v>
      </c>
      <c r="F341" s="251" t="s">
        <v>772</v>
      </c>
      <c r="G341" s="251" t="s">
        <v>155</v>
      </c>
      <c r="H341" s="130">
        <v>80111600</v>
      </c>
      <c r="I341" s="253">
        <v>2</v>
      </c>
      <c r="J341" s="126">
        <v>11</v>
      </c>
      <c r="K341" s="126">
        <v>0</v>
      </c>
      <c r="L341" s="125">
        <v>74500000</v>
      </c>
      <c r="M341" s="251" t="s">
        <v>464</v>
      </c>
      <c r="N341" s="125" t="s">
        <v>113</v>
      </c>
      <c r="O341" s="252" t="s">
        <v>216</v>
      </c>
      <c r="P341" s="254" t="str">
        <f>IFERROR(VLOOKUP(C341,TD!$B$33:$F$37,2,0)," ")</f>
        <v>O230117</v>
      </c>
      <c r="Q341" s="254" t="str">
        <f>IFERROR(VLOOKUP(C341,TD!$B$33:$F$37,3,0)," ")</f>
        <v>4599</v>
      </c>
      <c r="R341" s="254">
        <f>IFERROR(VLOOKUP(C341,TD!$B$33:$F$37,4,0)," ")</f>
        <v>20240207</v>
      </c>
      <c r="S341" s="252" t="s">
        <v>179</v>
      </c>
      <c r="T341" s="254" t="str">
        <f>IFERROR(VLOOKUP(S341,TD!$J$34:$K$44,2,0)," ")</f>
        <v>Infraestructura Tecnológica   (Sistemas de Información y Tecnologia)</v>
      </c>
      <c r="U341" s="249" t="str">
        <f>CONCATENATE(S341,"-",T341)</f>
        <v>11-Infraestructura Tecnológica   (Sistemas de Información y Tecnologia)</v>
      </c>
      <c r="V341" s="252" t="s">
        <v>239</v>
      </c>
      <c r="W341" s="254" t="str">
        <f>IFERROR(VLOOKUP(V341,TD!$N$34:$O$46,2,0)," ")</f>
        <v>Servicios tecnológicos</v>
      </c>
      <c r="X341" s="249" t="str">
        <f>CONCATENATE(V341,"_",W341)</f>
        <v>007_Servicios tecnológicos</v>
      </c>
      <c r="Y341" s="249" t="str">
        <f>CONCATENATE(U341," ",X341)</f>
        <v>11-Infraestructura Tecnológica   (Sistemas de Información y Tecnologia) 007_Servicios tecnológicos</v>
      </c>
      <c r="Z341" s="254" t="str">
        <f>CONCATENATE(P341,Q341,R341,S341,V341)</f>
        <v>O23011745992024020711007</v>
      </c>
      <c r="AA341" s="254" t="str">
        <f>IFERROR(VLOOKUP(Y341,TD!$K$47:$L$65,2,0)," ")</f>
        <v>PM/0131/0111/45990070207</v>
      </c>
      <c r="AB341" s="125" t="s">
        <v>138</v>
      </c>
      <c r="AC341" s="255" t="s">
        <v>204</v>
      </c>
    </row>
    <row r="342" spans="2:29" s="28" customFormat="1" ht="70" x14ac:dyDescent="0.35">
      <c r="B342" s="127">
        <v>20250360</v>
      </c>
      <c r="C342" s="129" t="s">
        <v>208</v>
      </c>
      <c r="D342" s="251" t="s">
        <v>162</v>
      </c>
      <c r="E342" s="252" t="s">
        <v>355</v>
      </c>
      <c r="F342" s="251" t="s">
        <v>410</v>
      </c>
      <c r="G342" s="251" t="s">
        <v>155</v>
      </c>
      <c r="H342" s="130">
        <v>80111600</v>
      </c>
      <c r="I342" s="253">
        <v>2</v>
      </c>
      <c r="J342" s="126">
        <v>11</v>
      </c>
      <c r="K342" s="126">
        <v>0</v>
      </c>
      <c r="L342" s="125">
        <v>78000000</v>
      </c>
      <c r="M342" s="251" t="s">
        <v>464</v>
      </c>
      <c r="N342" s="125" t="s">
        <v>113</v>
      </c>
      <c r="O342" s="252" t="s">
        <v>215</v>
      </c>
      <c r="P342" s="254" t="str">
        <f>IFERROR(VLOOKUP(C342,TD!$B$33:$F$37,2,0)," ")</f>
        <v>O230117</v>
      </c>
      <c r="Q342" s="254" t="str">
        <f>IFERROR(VLOOKUP(C342,TD!$B$33:$F$37,3,0)," ")</f>
        <v>4599</v>
      </c>
      <c r="R342" s="254">
        <f>IFERROR(VLOOKUP(C342,TD!$B$33:$F$37,4,0)," ")</f>
        <v>20240207</v>
      </c>
      <c r="S342" s="252" t="s">
        <v>179</v>
      </c>
      <c r="T342" s="254" t="str">
        <f>IFERROR(VLOOKUP(S342,TD!$J$34:$K$44,2,0)," ")</f>
        <v>Infraestructura Tecnológica   (Sistemas de Información y Tecnologia)</v>
      </c>
      <c r="U342" s="249" t="str">
        <f>CONCATENATE(S342,"-",T342)</f>
        <v>11-Infraestructura Tecnológica   (Sistemas de Información y Tecnologia)</v>
      </c>
      <c r="V342" s="252" t="s">
        <v>239</v>
      </c>
      <c r="W342" s="254" t="str">
        <f>IFERROR(VLOOKUP(V342,TD!$N$34:$O$46,2,0)," ")</f>
        <v>Servicios tecnológicos</v>
      </c>
      <c r="X342" s="249" t="str">
        <f>CONCATENATE(V342,"_",W342)</f>
        <v>007_Servicios tecnológicos</v>
      </c>
      <c r="Y342" s="249" t="str">
        <f>CONCATENATE(U342," ",X342)</f>
        <v>11-Infraestructura Tecnológica   (Sistemas de Información y Tecnologia) 007_Servicios tecnológicos</v>
      </c>
      <c r="Z342" s="254" t="str">
        <f>CONCATENATE(P342,Q342,R342,S342,V342)</f>
        <v>O23011745992024020711007</v>
      </c>
      <c r="AA342" s="254" t="str">
        <f>IFERROR(VLOOKUP(Y342,TD!$K$47:$L$65,2,0)," ")</f>
        <v>PM/0131/0111/45990070207</v>
      </c>
      <c r="AB342" s="125" t="s">
        <v>120</v>
      </c>
      <c r="AC342" s="252" t="s">
        <v>204</v>
      </c>
    </row>
    <row r="343" spans="2:29" s="28" customFormat="1" ht="70" x14ac:dyDescent="0.35">
      <c r="B343" s="127">
        <v>20250361</v>
      </c>
      <c r="C343" s="129" t="s">
        <v>208</v>
      </c>
      <c r="D343" s="251" t="s">
        <v>162</v>
      </c>
      <c r="E343" s="252" t="s">
        <v>355</v>
      </c>
      <c r="F343" s="251" t="s">
        <v>773</v>
      </c>
      <c r="G343" s="251" t="s">
        <v>155</v>
      </c>
      <c r="H343" s="130">
        <v>80111600</v>
      </c>
      <c r="I343" s="253">
        <v>2</v>
      </c>
      <c r="J343" s="126">
        <v>11</v>
      </c>
      <c r="K343" s="126">
        <v>0</v>
      </c>
      <c r="L343" s="125">
        <v>37250000</v>
      </c>
      <c r="M343" s="251" t="s">
        <v>464</v>
      </c>
      <c r="N343" s="125" t="s">
        <v>113</v>
      </c>
      <c r="O343" s="252" t="s">
        <v>215</v>
      </c>
      <c r="P343" s="254" t="str">
        <f>IFERROR(VLOOKUP(C343,TD!$B$33:$F$37,2,0)," ")</f>
        <v>O230117</v>
      </c>
      <c r="Q343" s="254" t="str">
        <f>IFERROR(VLOOKUP(C343,TD!$B$33:$F$37,3,0)," ")</f>
        <v>4599</v>
      </c>
      <c r="R343" s="254">
        <f>IFERROR(VLOOKUP(C343,TD!$B$33:$F$37,4,0)," ")</f>
        <v>20240207</v>
      </c>
      <c r="S343" s="252" t="s">
        <v>179</v>
      </c>
      <c r="T343" s="254" t="str">
        <f>IFERROR(VLOOKUP(S343,TD!$J$34:$K$44,2,0)," ")</f>
        <v>Infraestructura Tecnológica   (Sistemas de Información y Tecnologia)</v>
      </c>
      <c r="U343" s="249" t="str">
        <f>CONCATENATE(S343,"-",T343)</f>
        <v>11-Infraestructura Tecnológica   (Sistemas de Información y Tecnologia)</v>
      </c>
      <c r="V343" s="252" t="s">
        <v>239</v>
      </c>
      <c r="W343" s="254" t="str">
        <f>IFERROR(VLOOKUP(V343,TD!$N$34:$O$46,2,0)," ")</f>
        <v>Servicios tecnológicos</v>
      </c>
      <c r="X343" s="249" t="str">
        <f>CONCATENATE(V343,"_",W343)</f>
        <v>007_Servicios tecnológicos</v>
      </c>
      <c r="Y343" s="249" t="str">
        <f>CONCATENATE(U343," ",X343)</f>
        <v>11-Infraestructura Tecnológica   (Sistemas de Información y Tecnologia) 007_Servicios tecnológicos</v>
      </c>
      <c r="Z343" s="254" t="str">
        <f>CONCATENATE(P343,Q343,R343,S343,V343)</f>
        <v>O23011745992024020711007</v>
      </c>
      <c r="AA343" s="254" t="str">
        <f>IFERROR(VLOOKUP(Y343,TD!$K$47:$L$65,2,0)," ")</f>
        <v>PM/0131/0111/45990070207</v>
      </c>
      <c r="AB343" s="125" t="s">
        <v>138</v>
      </c>
      <c r="AC343" s="255" t="s">
        <v>204</v>
      </c>
    </row>
    <row r="344" spans="2:29" s="28" customFormat="1" ht="70" x14ac:dyDescent="0.35">
      <c r="B344" s="127">
        <v>20250362</v>
      </c>
      <c r="C344" s="129" t="s">
        <v>208</v>
      </c>
      <c r="D344" s="251" t="s">
        <v>162</v>
      </c>
      <c r="E344" s="252" t="s">
        <v>355</v>
      </c>
      <c r="F344" s="251" t="s">
        <v>774</v>
      </c>
      <c r="G344" s="251" t="s">
        <v>155</v>
      </c>
      <c r="H344" s="130">
        <v>80111600</v>
      </c>
      <c r="I344" s="253">
        <v>2</v>
      </c>
      <c r="J344" s="126">
        <v>11</v>
      </c>
      <c r="K344" s="126">
        <v>0</v>
      </c>
      <c r="L344" s="125">
        <v>85500000</v>
      </c>
      <c r="M344" s="251" t="s">
        <v>464</v>
      </c>
      <c r="N344" s="125" t="s">
        <v>113</v>
      </c>
      <c r="O344" s="252" t="s">
        <v>214</v>
      </c>
      <c r="P344" s="254" t="str">
        <f>IFERROR(VLOOKUP(C344,TD!$B$33:$F$37,2,0)," ")</f>
        <v>O230117</v>
      </c>
      <c r="Q344" s="254" t="str">
        <f>IFERROR(VLOOKUP(C344,TD!$B$33:$F$37,3,0)," ")</f>
        <v>4599</v>
      </c>
      <c r="R344" s="254">
        <f>IFERROR(VLOOKUP(C344,TD!$B$33:$F$37,4,0)," ")</f>
        <v>20240207</v>
      </c>
      <c r="S344" s="252" t="s">
        <v>179</v>
      </c>
      <c r="T344" s="254" t="str">
        <f>IFERROR(VLOOKUP(S344,TD!$J$34:$K$44,2,0)," ")</f>
        <v>Infraestructura Tecnológica   (Sistemas de Información y Tecnologia)</v>
      </c>
      <c r="U344" s="249" t="str">
        <f>CONCATENATE(S344,"-",T344)</f>
        <v>11-Infraestructura Tecnológica   (Sistemas de Información y Tecnologia)</v>
      </c>
      <c r="V344" s="252" t="s">
        <v>239</v>
      </c>
      <c r="W344" s="254" t="str">
        <f>IFERROR(VLOOKUP(V344,TD!$N$34:$O$46,2,0)," ")</f>
        <v>Servicios tecnológicos</v>
      </c>
      <c r="X344" s="249" t="str">
        <f>CONCATENATE(V344,"_",W344)</f>
        <v>007_Servicios tecnológicos</v>
      </c>
      <c r="Y344" s="249" t="str">
        <f>CONCATENATE(U344," ",X344)</f>
        <v>11-Infraestructura Tecnológica   (Sistemas de Información y Tecnologia) 007_Servicios tecnológicos</v>
      </c>
      <c r="Z344" s="254" t="str">
        <f>CONCATENATE(P344,Q344,R344,S344,V344)</f>
        <v>O23011745992024020711007</v>
      </c>
      <c r="AA344" s="254" t="str">
        <f>IFERROR(VLOOKUP(Y344,TD!$K$47:$L$65,2,0)," ")</f>
        <v>PM/0131/0111/45990070207</v>
      </c>
      <c r="AB344" s="125" t="s">
        <v>138</v>
      </c>
      <c r="AC344" s="255" t="s">
        <v>204</v>
      </c>
    </row>
    <row r="345" spans="2:29" s="28" customFormat="1" ht="70" x14ac:dyDescent="0.35">
      <c r="B345" s="77">
        <v>20250363</v>
      </c>
      <c r="C345" s="50" t="s">
        <v>208</v>
      </c>
      <c r="D345" s="246" t="s">
        <v>162</v>
      </c>
      <c r="E345" s="51" t="s">
        <v>355</v>
      </c>
      <c r="F345" s="246" t="s">
        <v>775</v>
      </c>
      <c r="G345" s="246" t="s">
        <v>155</v>
      </c>
      <c r="H345" s="93">
        <v>80111600</v>
      </c>
      <c r="I345" s="247">
        <v>2</v>
      </c>
      <c r="J345" s="52">
        <v>11</v>
      </c>
      <c r="K345" s="52">
        <v>0</v>
      </c>
      <c r="L345" s="53">
        <v>68310000</v>
      </c>
      <c r="M345" s="246" t="s">
        <v>464</v>
      </c>
      <c r="N345" s="53" t="s">
        <v>113</v>
      </c>
      <c r="O345" s="51" t="s">
        <v>216</v>
      </c>
      <c r="P345" s="248" t="str">
        <f>IFERROR(VLOOKUP(C345,TD!$B$33:$F$37,2,0)," ")</f>
        <v>O230117</v>
      </c>
      <c r="Q345" s="248" t="str">
        <f>IFERROR(VLOOKUP(C345,TD!$B$33:$F$37,3,0)," ")</f>
        <v>4599</v>
      </c>
      <c r="R345" s="248">
        <f>IFERROR(VLOOKUP(C345,TD!$B$33:$F$37,4,0)," ")</f>
        <v>20240207</v>
      </c>
      <c r="S345" s="51" t="s">
        <v>179</v>
      </c>
      <c r="T345" s="248" t="str">
        <f>IFERROR(VLOOKUP(S345,TD!$J$34:$K$44,2,0)," ")</f>
        <v>Infraestructura Tecnológica   (Sistemas de Información y Tecnologia)</v>
      </c>
      <c r="U345" s="249" t="str">
        <f>CONCATENATE(S345,"-",T345)</f>
        <v>11-Infraestructura Tecnológica   (Sistemas de Información y Tecnologia)</v>
      </c>
      <c r="V345" s="51" t="s">
        <v>239</v>
      </c>
      <c r="W345" s="248" t="str">
        <f>IFERROR(VLOOKUP(V345,TD!$N$34:$O$46,2,0)," ")</f>
        <v>Servicios tecnológicos</v>
      </c>
      <c r="X345" s="249" t="str">
        <f>CONCATENATE(V345,"_",W345)</f>
        <v>007_Servicios tecnológicos</v>
      </c>
      <c r="Y345" s="249" t="str">
        <f>CONCATENATE(U345," ",X345)</f>
        <v>11-Infraestructura Tecnológica   (Sistemas de Información y Tecnologia) 007_Servicios tecnológicos</v>
      </c>
      <c r="Z345" s="248" t="str">
        <f>CONCATENATE(P345,Q345,R345,S345,V345)</f>
        <v>O23011745992024020711007</v>
      </c>
      <c r="AA345" s="248" t="str">
        <f>IFERROR(VLOOKUP(Y345,TD!$K$47:$L$65,2,0)," ")</f>
        <v>PM/0131/0111/45990070207</v>
      </c>
      <c r="AB345" s="53" t="s">
        <v>138</v>
      </c>
      <c r="AC345" s="250" t="s">
        <v>204</v>
      </c>
    </row>
    <row r="346" spans="2:29" s="28" customFormat="1" ht="84" x14ac:dyDescent="0.35">
      <c r="B346" s="127">
        <v>20250364</v>
      </c>
      <c r="C346" s="129" t="s">
        <v>208</v>
      </c>
      <c r="D346" s="251" t="s">
        <v>162</v>
      </c>
      <c r="E346" s="252" t="s">
        <v>355</v>
      </c>
      <c r="F346" s="251" t="s">
        <v>411</v>
      </c>
      <c r="G346" s="251" t="s">
        <v>155</v>
      </c>
      <c r="H346" s="130">
        <v>80111600</v>
      </c>
      <c r="I346" s="253">
        <v>2</v>
      </c>
      <c r="J346" s="126">
        <v>11</v>
      </c>
      <c r="K346" s="126">
        <v>0</v>
      </c>
      <c r="L346" s="125">
        <v>64000000</v>
      </c>
      <c r="M346" s="251" t="s">
        <v>464</v>
      </c>
      <c r="N346" s="125" t="s">
        <v>113</v>
      </c>
      <c r="O346" s="252" t="s">
        <v>214</v>
      </c>
      <c r="P346" s="254" t="str">
        <f>IFERROR(VLOOKUP(C346,TD!$B$33:$F$37,2,0)," ")</f>
        <v>O230117</v>
      </c>
      <c r="Q346" s="254" t="str">
        <f>IFERROR(VLOOKUP(C346,TD!$B$33:$F$37,3,0)," ")</f>
        <v>4599</v>
      </c>
      <c r="R346" s="254">
        <f>IFERROR(VLOOKUP(C346,TD!$B$33:$F$37,4,0)," ")</f>
        <v>20240207</v>
      </c>
      <c r="S346" s="252" t="s">
        <v>179</v>
      </c>
      <c r="T346" s="254" t="str">
        <f>IFERROR(VLOOKUP(S346,TD!$J$34:$K$44,2,0)," ")</f>
        <v>Infraestructura Tecnológica   (Sistemas de Información y Tecnologia)</v>
      </c>
      <c r="U346" s="249" t="str">
        <f>CONCATENATE(S346,"-",T346)</f>
        <v>11-Infraestructura Tecnológica   (Sistemas de Información y Tecnologia)</v>
      </c>
      <c r="V346" s="252" t="s">
        <v>239</v>
      </c>
      <c r="W346" s="254" t="str">
        <f>IFERROR(VLOOKUP(V346,TD!$N$34:$O$46,2,0)," ")</f>
        <v>Servicios tecnológicos</v>
      </c>
      <c r="X346" s="249" t="str">
        <f>CONCATENATE(V346,"_",W346)</f>
        <v>007_Servicios tecnológicos</v>
      </c>
      <c r="Y346" s="249" t="str">
        <f>CONCATENATE(U346," ",X346)</f>
        <v>11-Infraestructura Tecnológica   (Sistemas de Información y Tecnologia) 007_Servicios tecnológicos</v>
      </c>
      <c r="Z346" s="254" t="str">
        <f>CONCATENATE(P346,Q346,R346,S346,V346)</f>
        <v>O23011745992024020711007</v>
      </c>
      <c r="AA346" s="254" t="str">
        <f>IFERROR(VLOOKUP(Y346,TD!$K$47:$L$65,2,0)," ")</f>
        <v>PM/0131/0111/45990070207</v>
      </c>
      <c r="AB346" s="125" t="s">
        <v>138</v>
      </c>
      <c r="AC346" s="255" t="s">
        <v>204</v>
      </c>
    </row>
    <row r="347" spans="2:29" s="28" customFormat="1" ht="70" x14ac:dyDescent="0.35">
      <c r="B347" s="77">
        <v>20250365</v>
      </c>
      <c r="C347" s="50" t="s">
        <v>208</v>
      </c>
      <c r="D347" s="246" t="s">
        <v>162</v>
      </c>
      <c r="E347" s="51" t="s">
        <v>355</v>
      </c>
      <c r="F347" s="246" t="s">
        <v>412</v>
      </c>
      <c r="G347" s="246" t="s">
        <v>155</v>
      </c>
      <c r="H347" s="93">
        <v>80111600</v>
      </c>
      <c r="I347" s="247">
        <v>2</v>
      </c>
      <c r="J347" s="52">
        <v>11</v>
      </c>
      <c r="K347" s="52">
        <v>0</v>
      </c>
      <c r="L347" s="53">
        <v>74800000</v>
      </c>
      <c r="M347" s="246" t="s">
        <v>464</v>
      </c>
      <c r="N347" s="53" t="s">
        <v>113</v>
      </c>
      <c r="O347" s="51" t="s">
        <v>215</v>
      </c>
      <c r="P347" s="248" t="str">
        <f>IFERROR(VLOOKUP(C347,TD!$B$33:$F$37,2,0)," ")</f>
        <v>O230117</v>
      </c>
      <c r="Q347" s="248" t="str">
        <f>IFERROR(VLOOKUP(C347,TD!$B$33:$F$37,3,0)," ")</f>
        <v>4599</v>
      </c>
      <c r="R347" s="248">
        <f>IFERROR(VLOOKUP(C347,TD!$B$33:$F$37,4,0)," ")</f>
        <v>20240207</v>
      </c>
      <c r="S347" s="51" t="s">
        <v>179</v>
      </c>
      <c r="T347" s="248" t="str">
        <f>IFERROR(VLOOKUP(S347,TD!$J$34:$K$44,2,0)," ")</f>
        <v>Infraestructura Tecnológica   (Sistemas de Información y Tecnologia)</v>
      </c>
      <c r="U347" s="249" t="str">
        <f>CONCATENATE(S347,"-",T347)</f>
        <v>11-Infraestructura Tecnológica   (Sistemas de Información y Tecnologia)</v>
      </c>
      <c r="V347" s="51" t="s">
        <v>239</v>
      </c>
      <c r="W347" s="248" t="str">
        <f>IFERROR(VLOOKUP(V347,TD!$N$34:$O$46,2,0)," ")</f>
        <v>Servicios tecnológicos</v>
      </c>
      <c r="X347" s="249" t="str">
        <f>CONCATENATE(V347,"_",W347)</f>
        <v>007_Servicios tecnológicos</v>
      </c>
      <c r="Y347" s="249" t="str">
        <f>CONCATENATE(U347," ",X347)</f>
        <v>11-Infraestructura Tecnológica   (Sistemas de Información y Tecnologia) 007_Servicios tecnológicos</v>
      </c>
      <c r="Z347" s="248" t="str">
        <f>CONCATENATE(P347,Q347,R347,S347,V347)</f>
        <v>O23011745992024020711007</v>
      </c>
      <c r="AA347" s="248" t="str">
        <f>IFERROR(VLOOKUP(Y347,TD!$K$47:$L$65,2,0)," ")</f>
        <v>PM/0131/0111/45990070207</v>
      </c>
      <c r="AB347" s="53" t="s">
        <v>138</v>
      </c>
      <c r="AC347" s="250" t="s">
        <v>204</v>
      </c>
    </row>
    <row r="348" spans="2:29" s="28" customFormat="1" ht="70" x14ac:dyDescent="0.35">
      <c r="B348" s="127">
        <v>20250366</v>
      </c>
      <c r="C348" s="129" t="s">
        <v>208</v>
      </c>
      <c r="D348" s="251" t="s">
        <v>162</v>
      </c>
      <c r="E348" s="252" t="s">
        <v>355</v>
      </c>
      <c r="F348" s="251" t="s">
        <v>776</v>
      </c>
      <c r="G348" s="251" t="s">
        <v>156</v>
      </c>
      <c r="H348" s="130">
        <v>80111600</v>
      </c>
      <c r="I348" s="253">
        <v>2</v>
      </c>
      <c r="J348" s="126">
        <v>11</v>
      </c>
      <c r="K348" s="126">
        <v>0</v>
      </c>
      <c r="L348" s="125">
        <v>30400000</v>
      </c>
      <c r="M348" s="251" t="s">
        <v>464</v>
      </c>
      <c r="N348" s="125" t="s">
        <v>113</v>
      </c>
      <c r="O348" s="252" t="s">
        <v>216</v>
      </c>
      <c r="P348" s="254" t="str">
        <f>IFERROR(VLOOKUP(C348,TD!$B$33:$F$37,2,0)," ")</f>
        <v>O230117</v>
      </c>
      <c r="Q348" s="254" t="str">
        <f>IFERROR(VLOOKUP(C348,TD!$B$33:$F$37,3,0)," ")</f>
        <v>4599</v>
      </c>
      <c r="R348" s="254">
        <f>IFERROR(VLOOKUP(C348,TD!$B$33:$F$37,4,0)," ")</f>
        <v>20240207</v>
      </c>
      <c r="S348" s="252" t="s">
        <v>179</v>
      </c>
      <c r="T348" s="254" t="str">
        <f>IFERROR(VLOOKUP(S348,TD!$J$34:$K$44,2,0)," ")</f>
        <v>Infraestructura Tecnológica   (Sistemas de Información y Tecnologia)</v>
      </c>
      <c r="U348" s="249" t="str">
        <f>CONCATENATE(S348,"-",T348)</f>
        <v>11-Infraestructura Tecnológica   (Sistemas de Información y Tecnologia)</v>
      </c>
      <c r="V348" s="252" t="s">
        <v>239</v>
      </c>
      <c r="W348" s="254" t="str">
        <f>IFERROR(VLOOKUP(V348,TD!$N$34:$O$46,2,0)," ")</f>
        <v>Servicios tecnológicos</v>
      </c>
      <c r="X348" s="249" t="str">
        <f>CONCATENATE(V348,"_",W348)</f>
        <v>007_Servicios tecnológicos</v>
      </c>
      <c r="Y348" s="249" t="str">
        <f>CONCATENATE(U348," ",X348)</f>
        <v>11-Infraestructura Tecnológica   (Sistemas de Información y Tecnologia) 007_Servicios tecnológicos</v>
      </c>
      <c r="Z348" s="254" t="str">
        <f>CONCATENATE(P348,Q348,R348,S348,V348)</f>
        <v>O23011745992024020711007</v>
      </c>
      <c r="AA348" s="254" t="str">
        <f>IFERROR(VLOOKUP(Y348,TD!$K$47:$L$65,2,0)," ")</f>
        <v>PM/0131/0111/45990070207</v>
      </c>
      <c r="AB348" s="125" t="s">
        <v>138</v>
      </c>
      <c r="AC348" s="255" t="s">
        <v>204</v>
      </c>
    </row>
    <row r="349" spans="2:29" s="108" customFormat="1" ht="56" x14ac:dyDescent="0.35">
      <c r="B349" s="127">
        <v>20250367</v>
      </c>
      <c r="C349" s="129" t="s">
        <v>208</v>
      </c>
      <c r="D349" s="251" t="s">
        <v>162</v>
      </c>
      <c r="E349" s="252" t="s">
        <v>355</v>
      </c>
      <c r="F349" s="251" t="s">
        <v>777</v>
      </c>
      <c r="G349" s="251" t="s">
        <v>156</v>
      </c>
      <c r="H349" s="130">
        <v>80111600</v>
      </c>
      <c r="I349" s="253">
        <v>2</v>
      </c>
      <c r="J349" s="126">
        <v>11</v>
      </c>
      <c r="K349" s="126">
        <v>0</v>
      </c>
      <c r="L349" s="125">
        <v>33000000</v>
      </c>
      <c r="M349" s="251" t="s">
        <v>464</v>
      </c>
      <c r="N349" s="125" t="s">
        <v>113</v>
      </c>
      <c r="O349" s="252" t="s">
        <v>215</v>
      </c>
      <c r="P349" s="254" t="str">
        <f>IFERROR(VLOOKUP(C349,TD!$B$33:$F$37,2,0)," ")</f>
        <v>O230117</v>
      </c>
      <c r="Q349" s="254" t="str">
        <f>IFERROR(VLOOKUP(C349,TD!$B$33:$F$37,3,0)," ")</f>
        <v>4599</v>
      </c>
      <c r="R349" s="254">
        <f>IFERROR(VLOOKUP(C349,TD!$B$33:$F$37,4,0)," ")</f>
        <v>20240207</v>
      </c>
      <c r="S349" s="252" t="s">
        <v>179</v>
      </c>
      <c r="T349" s="254" t="str">
        <f>IFERROR(VLOOKUP(S349,TD!$J$34:$K$44,2,0)," ")</f>
        <v>Infraestructura Tecnológica   (Sistemas de Información y Tecnologia)</v>
      </c>
      <c r="U349" s="249" t="str">
        <f>CONCATENATE(S349,"-",T349)</f>
        <v>11-Infraestructura Tecnológica   (Sistemas de Información y Tecnologia)</v>
      </c>
      <c r="V349" s="252" t="s">
        <v>239</v>
      </c>
      <c r="W349" s="254" t="str">
        <f>IFERROR(VLOOKUP(V349,TD!$N$34:$O$46,2,0)," ")</f>
        <v>Servicios tecnológicos</v>
      </c>
      <c r="X349" s="249" t="str">
        <f>CONCATENATE(V349,"_",W349)</f>
        <v>007_Servicios tecnológicos</v>
      </c>
      <c r="Y349" s="249" t="str">
        <f>CONCATENATE(U349," ",X349)</f>
        <v>11-Infraestructura Tecnológica   (Sistemas de Información y Tecnologia) 007_Servicios tecnológicos</v>
      </c>
      <c r="Z349" s="254" t="str">
        <f>CONCATENATE(P349,Q349,R349,S349,V349)</f>
        <v>O23011745992024020711007</v>
      </c>
      <c r="AA349" s="254" t="str">
        <f>IFERROR(VLOOKUP(Y349,TD!$K$47:$L$65,2,0)," ")</f>
        <v>PM/0131/0111/45990070207</v>
      </c>
      <c r="AB349" s="125" t="s">
        <v>138</v>
      </c>
      <c r="AC349" s="255" t="s">
        <v>204</v>
      </c>
    </row>
    <row r="350" spans="2:29" s="108" customFormat="1" ht="70" x14ac:dyDescent="0.35">
      <c r="B350" s="127">
        <v>20250368</v>
      </c>
      <c r="C350" s="129" t="s">
        <v>208</v>
      </c>
      <c r="D350" s="251" t="s">
        <v>162</v>
      </c>
      <c r="E350" s="252" t="s">
        <v>355</v>
      </c>
      <c r="F350" s="251" t="s">
        <v>778</v>
      </c>
      <c r="G350" s="251" t="s">
        <v>156</v>
      </c>
      <c r="H350" s="130">
        <v>80111600</v>
      </c>
      <c r="I350" s="253">
        <v>2</v>
      </c>
      <c r="J350" s="126">
        <v>11</v>
      </c>
      <c r="K350" s="126">
        <v>0</v>
      </c>
      <c r="L350" s="125">
        <v>39600000</v>
      </c>
      <c r="M350" s="251" t="s">
        <v>464</v>
      </c>
      <c r="N350" s="125" t="s">
        <v>113</v>
      </c>
      <c r="O350" s="252" t="s">
        <v>215</v>
      </c>
      <c r="P350" s="254" t="str">
        <f>IFERROR(VLOOKUP(C350,TD!$B$33:$F$37,2,0)," ")</f>
        <v>O230117</v>
      </c>
      <c r="Q350" s="254" t="str">
        <f>IFERROR(VLOOKUP(C350,TD!$B$33:$F$37,3,0)," ")</f>
        <v>4599</v>
      </c>
      <c r="R350" s="254">
        <f>IFERROR(VLOOKUP(C350,TD!$B$33:$F$37,4,0)," ")</f>
        <v>20240207</v>
      </c>
      <c r="S350" s="252" t="s">
        <v>179</v>
      </c>
      <c r="T350" s="254" t="str">
        <f>IFERROR(VLOOKUP(S350,TD!$J$34:$K$44,2,0)," ")</f>
        <v>Infraestructura Tecnológica   (Sistemas de Información y Tecnologia)</v>
      </c>
      <c r="U350" s="249" t="str">
        <f>CONCATENATE(S350,"-",T350)</f>
        <v>11-Infraestructura Tecnológica   (Sistemas de Información y Tecnologia)</v>
      </c>
      <c r="V350" s="252" t="s">
        <v>239</v>
      </c>
      <c r="W350" s="254" t="str">
        <f>IFERROR(VLOOKUP(V350,TD!$N$34:$O$46,2,0)," ")</f>
        <v>Servicios tecnológicos</v>
      </c>
      <c r="X350" s="249" t="str">
        <f>CONCATENATE(V350,"_",W350)</f>
        <v>007_Servicios tecnológicos</v>
      </c>
      <c r="Y350" s="249" t="str">
        <f>CONCATENATE(U350," ",X350)</f>
        <v>11-Infraestructura Tecnológica   (Sistemas de Información y Tecnologia) 007_Servicios tecnológicos</v>
      </c>
      <c r="Z350" s="254" t="str">
        <f>CONCATENATE(P350,Q350,R350,S350,V350)</f>
        <v>O23011745992024020711007</v>
      </c>
      <c r="AA350" s="254" t="str">
        <f>IFERROR(VLOOKUP(Y350,TD!$K$47:$L$65,2,0)," ")</f>
        <v>PM/0131/0111/45990070207</v>
      </c>
      <c r="AB350" s="125" t="s">
        <v>138</v>
      </c>
      <c r="AC350" s="255" t="s">
        <v>204</v>
      </c>
    </row>
    <row r="351" spans="2:29" s="108" customFormat="1" ht="70" x14ac:dyDescent="0.35">
      <c r="B351" s="127">
        <v>20250369</v>
      </c>
      <c r="C351" s="129" t="s">
        <v>208</v>
      </c>
      <c r="D351" s="251" t="s">
        <v>162</v>
      </c>
      <c r="E351" s="252" t="s">
        <v>355</v>
      </c>
      <c r="F351" s="251" t="s">
        <v>779</v>
      </c>
      <c r="G351" s="251" t="s">
        <v>156</v>
      </c>
      <c r="H351" s="130">
        <v>80111600</v>
      </c>
      <c r="I351" s="253">
        <v>2</v>
      </c>
      <c r="J351" s="126">
        <v>11</v>
      </c>
      <c r="K351" s="126">
        <v>0</v>
      </c>
      <c r="L351" s="125">
        <v>38000000</v>
      </c>
      <c r="M351" s="251" t="s">
        <v>464</v>
      </c>
      <c r="N351" s="125" t="s">
        <v>113</v>
      </c>
      <c r="O351" s="252" t="s">
        <v>215</v>
      </c>
      <c r="P351" s="254" t="str">
        <f>IFERROR(VLOOKUP(C351,TD!$B$33:$F$37,2,0)," ")</f>
        <v>O230117</v>
      </c>
      <c r="Q351" s="254" t="str">
        <f>IFERROR(VLOOKUP(C351,TD!$B$33:$F$37,3,0)," ")</f>
        <v>4599</v>
      </c>
      <c r="R351" s="254">
        <f>IFERROR(VLOOKUP(C351,TD!$B$33:$F$37,4,0)," ")</f>
        <v>20240207</v>
      </c>
      <c r="S351" s="252" t="s">
        <v>179</v>
      </c>
      <c r="T351" s="254" t="str">
        <f>IFERROR(VLOOKUP(S351,TD!$J$34:$K$44,2,0)," ")</f>
        <v>Infraestructura Tecnológica   (Sistemas de Información y Tecnologia)</v>
      </c>
      <c r="U351" s="249" t="str">
        <f>CONCATENATE(S351,"-",T351)</f>
        <v>11-Infraestructura Tecnológica   (Sistemas de Información y Tecnologia)</v>
      </c>
      <c r="V351" s="252" t="s">
        <v>239</v>
      </c>
      <c r="W351" s="254" t="str">
        <f>IFERROR(VLOOKUP(V351,TD!$N$34:$O$46,2,0)," ")</f>
        <v>Servicios tecnológicos</v>
      </c>
      <c r="X351" s="249" t="str">
        <f>CONCATENATE(V351,"_",W351)</f>
        <v>007_Servicios tecnológicos</v>
      </c>
      <c r="Y351" s="249" t="str">
        <f>CONCATENATE(U351," ",X351)</f>
        <v>11-Infraestructura Tecnológica   (Sistemas de Información y Tecnologia) 007_Servicios tecnológicos</v>
      </c>
      <c r="Z351" s="254" t="str">
        <f>CONCATENATE(P351,Q351,R351,S351,V351)</f>
        <v>O23011745992024020711007</v>
      </c>
      <c r="AA351" s="254" t="str">
        <f>IFERROR(VLOOKUP(Y351,TD!$K$47:$L$65,2,0)," ")</f>
        <v>PM/0131/0111/45990070207</v>
      </c>
      <c r="AB351" s="125" t="s">
        <v>138</v>
      </c>
      <c r="AC351" s="255" t="s">
        <v>204</v>
      </c>
    </row>
    <row r="352" spans="2:29" s="108" customFormat="1" ht="84" x14ac:dyDescent="0.35">
      <c r="B352" s="127">
        <v>20250370</v>
      </c>
      <c r="C352" s="129" t="s">
        <v>208</v>
      </c>
      <c r="D352" s="251" t="s">
        <v>162</v>
      </c>
      <c r="E352" s="252" t="s">
        <v>355</v>
      </c>
      <c r="F352" s="251" t="s">
        <v>780</v>
      </c>
      <c r="G352" s="251" t="s">
        <v>156</v>
      </c>
      <c r="H352" s="130">
        <v>80111600</v>
      </c>
      <c r="I352" s="253">
        <v>2</v>
      </c>
      <c r="J352" s="126">
        <v>11</v>
      </c>
      <c r="K352" s="126">
        <v>0</v>
      </c>
      <c r="L352" s="125">
        <v>22500000</v>
      </c>
      <c r="M352" s="251" t="s">
        <v>464</v>
      </c>
      <c r="N352" s="125" t="s">
        <v>113</v>
      </c>
      <c r="O352" s="252" t="s">
        <v>215</v>
      </c>
      <c r="P352" s="254" t="str">
        <f>IFERROR(VLOOKUP(C352,TD!$B$33:$F$37,2,0)," ")</f>
        <v>O230117</v>
      </c>
      <c r="Q352" s="254" t="str">
        <f>IFERROR(VLOOKUP(C352,TD!$B$33:$F$37,3,0)," ")</f>
        <v>4599</v>
      </c>
      <c r="R352" s="254">
        <f>IFERROR(VLOOKUP(C352,TD!$B$33:$F$37,4,0)," ")</f>
        <v>20240207</v>
      </c>
      <c r="S352" s="252" t="s">
        <v>179</v>
      </c>
      <c r="T352" s="254" t="str">
        <f>IFERROR(VLOOKUP(S352,TD!$J$34:$K$44,2,0)," ")</f>
        <v>Infraestructura Tecnológica   (Sistemas de Información y Tecnologia)</v>
      </c>
      <c r="U352" s="249" t="str">
        <f>CONCATENATE(S352,"-",T352)</f>
        <v>11-Infraestructura Tecnológica   (Sistemas de Información y Tecnologia)</v>
      </c>
      <c r="V352" s="252" t="s">
        <v>239</v>
      </c>
      <c r="W352" s="254" t="str">
        <f>IFERROR(VLOOKUP(V352,TD!$N$34:$O$46,2,0)," ")</f>
        <v>Servicios tecnológicos</v>
      </c>
      <c r="X352" s="249" t="str">
        <f>CONCATENATE(V352,"_",W352)</f>
        <v>007_Servicios tecnológicos</v>
      </c>
      <c r="Y352" s="249" t="str">
        <f>CONCATENATE(U352," ",X352)</f>
        <v>11-Infraestructura Tecnológica   (Sistemas de Información y Tecnologia) 007_Servicios tecnológicos</v>
      </c>
      <c r="Z352" s="254" t="str">
        <f>CONCATENATE(P352,Q352,R352,S352,V352)</f>
        <v>O23011745992024020711007</v>
      </c>
      <c r="AA352" s="254" t="str">
        <f>IFERROR(VLOOKUP(Y352,TD!$K$47:$L$65,2,0)," ")</f>
        <v>PM/0131/0111/45990070207</v>
      </c>
      <c r="AB352" s="125" t="s">
        <v>138</v>
      </c>
      <c r="AC352" s="255" t="s">
        <v>204</v>
      </c>
    </row>
    <row r="353" spans="2:29" s="108" customFormat="1" ht="84" x14ac:dyDescent="0.35">
      <c r="B353" s="127">
        <v>20250371</v>
      </c>
      <c r="C353" s="129" t="s">
        <v>208</v>
      </c>
      <c r="D353" s="251" t="s">
        <v>162</v>
      </c>
      <c r="E353" s="252" t="s">
        <v>355</v>
      </c>
      <c r="F353" s="251" t="s">
        <v>781</v>
      </c>
      <c r="G353" s="251" t="s">
        <v>155</v>
      </c>
      <c r="H353" s="130">
        <v>80111600</v>
      </c>
      <c r="I353" s="253">
        <v>3</v>
      </c>
      <c r="J353" s="126">
        <v>10</v>
      </c>
      <c r="K353" s="126">
        <v>0</v>
      </c>
      <c r="L353" s="125">
        <v>45000000</v>
      </c>
      <c r="M353" s="251" t="s">
        <v>464</v>
      </c>
      <c r="N353" s="125" t="s">
        <v>113</v>
      </c>
      <c r="O353" s="252" t="s">
        <v>214</v>
      </c>
      <c r="P353" s="254" t="str">
        <f>IFERROR(VLOOKUP(C353,TD!$B$33:$F$37,2,0)," ")</f>
        <v>O230117</v>
      </c>
      <c r="Q353" s="254" t="str">
        <f>IFERROR(VLOOKUP(C353,TD!$B$33:$F$37,3,0)," ")</f>
        <v>4599</v>
      </c>
      <c r="R353" s="254">
        <f>IFERROR(VLOOKUP(C353,TD!$B$33:$F$37,4,0)," ")</f>
        <v>20240207</v>
      </c>
      <c r="S353" s="252" t="s">
        <v>179</v>
      </c>
      <c r="T353" s="254" t="str">
        <f>IFERROR(VLOOKUP(S353,TD!$J$34:$K$44,2,0)," ")</f>
        <v>Infraestructura Tecnológica   (Sistemas de Información y Tecnologia)</v>
      </c>
      <c r="U353" s="249" t="str">
        <f>CONCATENATE(S353,"-",T353)</f>
        <v>11-Infraestructura Tecnológica   (Sistemas de Información y Tecnologia)</v>
      </c>
      <c r="V353" s="252" t="s">
        <v>239</v>
      </c>
      <c r="W353" s="254" t="str">
        <f>IFERROR(VLOOKUP(V353,TD!$N$34:$O$46,2,0)," ")</f>
        <v>Servicios tecnológicos</v>
      </c>
      <c r="X353" s="249" t="str">
        <f>CONCATENATE(V353,"_",W353)</f>
        <v>007_Servicios tecnológicos</v>
      </c>
      <c r="Y353" s="249" t="str">
        <f>CONCATENATE(U353," ",X353)</f>
        <v>11-Infraestructura Tecnológica   (Sistemas de Información y Tecnologia) 007_Servicios tecnológicos</v>
      </c>
      <c r="Z353" s="254" t="str">
        <f>CONCATENATE(P353,Q353,R353,S353,V353)</f>
        <v>O23011745992024020711007</v>
      </c>
      <c r="AA353" s="254" t="str">
        <f>IFERROR(VLOOKUP(Y353,TD!$K$47:$L$65,2,0)," ")</f>
        <v>PM/0131/0111/45990070207</v>
      </c>
      <c r="AB353" s="125" t="s">
        <v>138</v>
      </c>
      <c r="AC353" s="255" t="s">
        <v>204</v>
      </c>
    </row>
    <row r="354" spans="2:29" s="108" customFormat="1" ht="56" x14ac:dyDescent="0.35">
      <c r="B354" s="127">
        <v>20250372</v>
      </c>
      <c r="C354" s="129" t="s">
        <v>208</v>
      </c>
      <c r="D354" s="251" t="s">
        <v>162</v>
      </c>
      <c r="E354" s="252" t="s">
        <v>355</v>
      </c>
      <c r="F354" s="251" t="s">
        <v>782</v>
      </c>
      <c r="G354" s="251" t="s">
        <v>156</v>
      </c>
      <c r="H354" s="130">
        <v>80111600</v>
      </c>
      <c r="I354" s="253">
        <v>2</v>
      </c>
      <c r="J354" s="126">
        <v>11</v>
      </c>
      <c r="K354" s="126">
        <v>0</v>
      </c>
      <c r="L354" s="125">
        <v>45000000</v>
      </c>
      <c r="M354" s="251" t="s">
        <v>464</v>
      </c>
      <c r="N354" s="125" t="s">
        <v>113</v>
      </c>
      <c r="O354" s="252" t="s">
        <v>216</v>
      </c>
      <c r="P354" s="254" t="str">
        <f>IFERROR(VLOOKUP(C354,TD!$B$33:$F$37,2,0)," ")</f>
        <v>O230117</v>
      </c>
      <c r="Q354" s="254" t="str">
        <f>IFERROR(VLOOKUP(C354,TD!$B$33:$F$37,3,0)," ")</f>
        <v>4599</v>
      </c>
      <c r="R354" s="254">
        <f>IFERROR(VLOOKUP(C354,TD!$B$33:$F$37,4,0)," ")</f>
        <v>20240207</v>
      </c>
      <c r="S354" s="252" t="s">
        <v>179</v>
      </c>
      <c r="T354" s="254" t="str">
        <f>IFERROR(VLOOKUP(S354,TD!$J$34:$K$44,2,0)," ")</f>
        <v>Infraestructura Tecnológica   (Sistemas de Información y Tecnologia)</v>
      </c>
      <c r="U354" s="249" t="str">
        <f>CONCATENATE(S354,"-",T354)</f>
        <v>11-Infraestructura Tecnológica   (Sistemas de Información y Tecnologia)</v>
      </c>
      <c r="V354" s="252" t="s">
        <v>239</v>
      </c>
      <c r="W354" s="254" t="str">
        <f>IFERROR(VLOOKUP(V354,TD!$N$34:$O$46,2,0)," ")</f>
        <v>Servicios tecnológicos</v>
      </c>
      <c r="X354" s="249" t="str">
        <f>CONCATENATE(V354,"_",W354)</f>
        <v>007_Servicios tecnológicos</v>
      </c>
      <c r="Y354" s="249" t="str">
        <f>CONCATENATE(U354," ",X354)</f>
        <v>11-Infraestructura Tecnológica   (Sistemas de Información y Tecnologia) 007_Servicios tecnológicos</v>
      </c>
      <c r="Z354" s="254" t="str">
        <f>CONCATENATE(P354,Q354,R354,S354,V354)</f>
        <v>O23011745992024020711007</v>
      </c>
      <c r="AA354" s="254" t="str">
        <f>IFERROR(VLOOKUP(Y354,TD!$K$47:$L$65,2,0)," ")</f>
        <v>PM/0131/0111/45990070207</v>
      </c>
      <c r="AB354" s="125" t="s">
        <v>138</v>
      </c>
      <c r="AC354" s="255" t="s">
        <v>204</v>
      </c>
    </row>
    <row r="355" spans="2:29" s="28" customFormat="1" ht="98" x14ac:dyDescent="0.35">
      <c r="B355" s="127">
        <v>20250373</v>
      </c>
      <c r="C355" s="129" t="s">
        <v>208</v>
      </c>
      <c r="D355" s="251" t="s">
        <v>162</v>
      </c>
      <c r="E355" s="252" t="s">
        <v>355</v>
      </c>
      <c r="F355" s="251" t="s">
        <v>783</v>
      </c>
      <c r="G355" s="251" t="s">
        <v>155</v>
      </c>
      <c r="H355" s="130">
        <v>80111600</v>
      </c>
      <c r="I355" s="253">
        <v>2</v>
      </c>
      <c r="J355" s="126">
        <v>11</v>
      </c>
      <c r="K355" s="126">
        <v>0</v>
      </c>
      <c r="L355" s="125">
        <v>77000000</v>
      </c>
      <c r="M355" s="251" t="s">
        <v>464</v>
      </c>
      <c r="N355" s="125" t="s">
        <v>113</v>
      </c>
      <c r="O355" s="252" t="s">
        <v>217</v>
      </c>
      <c r="P355" s="254" t="str">
        <f>IFERROR(VLOOKUP(C355,TD!$B$33:$F$37,2,0)," ")</f>
        <v>O230117</v>
      </c>
      <c r="Q355" s="254" t="str">
        <f>IFERROR(VLOOKUP(C355,TD!$B$33:$F$37,3,0)," ")</f>
        <v>4599</v>
      </c>
      <c r="R355" s="254">
        <f>IFERROR(VLOOKUP(C355,TD!$B$33:$F$37,4,0)," ")</f>
        <v>20240207</v>
      </c>
      <c r="S355" s="252" t="s">
        <v>179</v>
      </c>
      <c r="T355" s="254" t="str">
        <f>IFERROR(VLOOKUP(S355,TD!$J$34:$K$44,2,0)," ")</f>
        <v>Infraestructura Tecnológica   (Sistemas de Información y Tecnologia)</v>
      </c>
      <c r="U355" s="249" t="str">
        <f>CONCATENATE(S355,"-",T355)</f>
        <v>11-Infraestructura Tecnológica   (Sistemas de Información y Tecnologia)</v>
      </c>
      <c r="V355" s="252" t="s">
        <v>239</v>
      </c>
      <c r="W355" s="254" t="str">
        <f>IFERROR(VLOOKUP(V355,TD!$N$34:$O$46,2,0)," ")</f>
        <v>Servicios tecnológicos</v>
      </c>
      <c r="X355" s="249" t="str">
        <f>CONCATENATE(V355,"_",W355)</f>
        <v>007_Servicios tecnológicos</v>
      </c>
      <c r="Y355" s="249" t="str">
        <f>CONCATENATE(U355," ",X355)</f>
        <v>11-Infraestructura Tecnológica   (Sistemas de Información y Tecnologia) 007_Servicios tecnológicos</v>
      </c>
      <c r="Z355" s="254" t="str">
        <f>CONCATENATE(P355,Q355,R355,S355,V355)</f>
        <v>O23011745992024020711007</v>
      </c>
      <c r="AA355" s="254" t="str">
        <f>IFERROR(VLOOKUP(Y355,TD!$K$47:$L$65,2,0)," ")</f>
        <v>PM/0131/0111/45990070207</v>
      </c>
      <c r="AB355" s="125" t="s">
        <v>138</v>
      </c>
      <c r="AC355" s="255" t="s">
        <v>204</v>
      </c>
    </row>
    <row r="356" spans="2:29" s="108" customFormat="1" ht="84" x14ac:dyDescent="0.35">
      <c r="B356" s="77">
        <v>20250374</v>
      </c>
      <c r="C356" s="50" t="s">
        <v>208</v>
      </c>
      <c r="D356" s="246" t="s">
        <v>162</v>
      </c>
      <c r="E356" s="51" t="s">
        <v>355</v>
      </c>
      <c r="F356" s="246" t="s">
        <v>784</v>
      </c>
      <c r="G356" s="246" t="s">
        <v>155</v>
      </c>
      <c r="H356" s="93">
        <v>80111600</v>
      </c>
      <c r="I356" s="247">
        <v>2</v>
      </c>
      <c r="J356" s="247">
        <v>11</v>
      </c>
      <c r="K356" s="52">
        <v>0</v>
      </c>
      <c r="L356" s="53">
        <v>77000000</v>
      </c>
      <c r="M356" s="246" t="s">
        <v>464</v>
      </c>
      <c r="N356" s="53" t="s">
        <v>113</v>
      </c>
      <c r="O356" s="51" t="s">
        <v>214</v>
      </c>
      <c r="P356" s="248" t="str">
        <f>IFERROR(VLOOKUP(C356,TD!$B$33:$F$37,2,0)," ")</f>
        <v>O230117</v>
      </c>
      <c r="Q356" s="248" t="str">
        <f>IFERROR(VLOOKUP(C356,TD!$B$33:$F$37,3,0)," ")</f>
        <v>4599</v>
      </c>
      <c r="R356" s="248">
        <f>IFERROR(VLOOKUP(C356,TD!$B$33:$F$37,4,0)," ")</f>
        <v>20240207</v>
      </c>
      <c r="S356" s="51" t="s">
        <v>179</v>
      </c>
      <c r="T356" s="248" t="str">
        <f>IFERROR(VLOOKUP(S356,TD!$J$34:$K$44,2,0)," ")</f>
        <v>Infraestructura Tecnológica   (Sistemas de Información y Tecnologia)</v>
      </c>
      <c r="U356" s="249" t="str">
        <f>CONCATENATE(S356,"-",T356)</f>
        <v>11-Infraestructura Tecnológica   (Sistemas de Información y Tecnologia)</v>
      </c>
      <c r="V356" s="51" t="s">
        <v>239</v>
      </c>
      <c r="W356" s="248" t="str">
        <f>IFERROR(VLOOKUP(V356,TD!$N$34:$O$46,2,0)," ")</f>
        <v>Servicios tecnológicos</v>
      </c>
      <c r="X356" s="249" t="str">
        <f>CONCATENATE(V356,"_",W356)</f>
        <v>007_Servicios tecnológicos</v>
      </c>
      <c r="Y356" s="249" t="str">
        <f>CONCATENATE(U356," ",X356)</f>
        <v>11-Infraestructura Tecnológica   (Sistemas de Información y Tecnologia) 007_Servicios tecnológicos</v>
      </c>
      <c r="Z356" s="248" t="str">
        <f>CONCATENATE(P356,Q356,R356,S356,V356)</f>
        <v>O23011745992024020711007</v>
      </c>
      <c r="AA356" s="248" t="str">
        <f>IFERROR(VLOOKUP(Y356,TD!$K$47:$L$65,2,0)," ")</f>
        <v>PM/0131/0111/45990070207</v>
      </c>
      <c r="AB356" s="53" t="s">
        <v>138</v>
      </c>
      <c r="AC356" s="250" t="s">
        <v>204</v>
      </c>
    </row>
    <row r="357" spans="2:29" s="28" customFormat="1" ht="70" x14ac:dyDescent="0.35">
      <c r="B357" s="127">
        <v>20250375</v>
      </c>
      <c r="C357" s="129" t="s">
        <v>208</v>
      </c>
      <c r="D357" s="251" t="s">
        <v>162</v>
      </c>
      <c r="E357" s="252" t="s">
        <v>355</v>
      </c>
      <c r="F357" s="251" t="s">
        <v>784</v>
      </c>
      <c r="G357" s="251" t="s">
        <v>155</v>
      </c>
      <c r="H357" s="130">
        <v>80111600</v>
      </c>
      <c r="I357" s="253">
        <v>2</v>
      </c>
      <c r="J357" s="253">
        <v>11</v>
      </c>
      <c r="K357" s="126">
        <v>0</v>
      </c>
      <c r="L357" s="125">
        <v>70000000</v>
      </c>
      <c r="M357" s="251" t="s">
        <v>464</v>
      </c>
      <c r="N357" s="125" t="s">
        <v>113</v>
      </c>
      <c r="O357" s="252" t="s">
        <v>214</v>
      </c>
      <c r="P357" s="254" t="str">
        <f>IFERROR(VLOOKUP(C357,TD!$B$33:$F$37,2,0)," ")</f>
        <v>O230117</v>
      </c>
      <c r="Q357" s="254" t="str">
        <f>IFERROR(VLOOKUP(C357,TD!$B$33:$F$37,3,0)," ")</f>
        <v>4599</v>
      </c>
      <c r="R357" s="254">
        <f>IFERROR(VLOOKUP(C357,TD!$B$33:$F$37,4,0)," ")</f>
        <v>20240207</v>
      </c>
      <c r="S357" s="252" t="s">
        <v>179</v>
      </c>
      <c r="T357" s="254" t="str">
        <f>IFERROR(VLOOKUP(S357,TD!$J$34:$K$44,2,0)," ")</f>
        <v>Infraestructura Tecnológica   (Sistemas de Información y Tecnologia)</v>
      </c>
      <c r="U357" s="249" t="str">
        <f>CONCATENATE(S357,"-",T357)</f>
        <v>11-Infraestructura Tecnológica   (Sistemas de Información y Tecnologia)</v>
      </c>
      <c r="V357" s="252" t="s">
        <v>239</v>
      </c>
      <c r="W357" s="254" t="str">
        <f>IFERROR(VLOOKUP(V357,TD!$N$34:$O$46,2,0)," ")</f>
        <v>Servicios tecnológicos</v>
      </c>
      <c r="X357" s="249" t="str">
        <f>CONCATENATE(V357,"_",W357)</f>
        <v>007_Servicios tecnológicos</v>
      </c>
      <c r="Y357" s="249" t="str">
        <f>CONCATENATE(U357," ",X357)</f>
        <v>11-Infraestructura Tecnológica   (Sistemas de Información y Tecnologia) 007_Servicios tecnológicos</v>
      </c>
      <c r="Z357" s="254" t="str">
        <f>CONCATENATE(P357,Q357,R357,S357,V357)</f>
        <v>O23011745992024020711007</v>
      </c>
      <c r="AA357" s="254" t="str">
        <f>IFERROR(VLOOKUP(Y357,TD!$K$47:$L$65,2,0)," ")</f>
        <v>PM/0131/0111/45990070207</v>
      </c>
      <c r="AB357" s="125" t="s">
        <v>138</v>
      </c>
      <c r="AC357" s="255" t="s">
        <v>204</v>
      </c>
    </row>
    <row r="358" spans="2:29" s="28" customFormat="1" ht="70" x14ac:dyDescent="0.35">
      <c r="B358" s="127">
        <v>20250376</v>
      </c>
      <c r="C358" s="129" t="s">
        <v>208</v>
      </c>
      <c r="D358" s="251" t="s">
        <v>162</v>
      </c>
      <c r="E358" s="252" t="s">
        <v>355</v>
      </c>
      <c r="F358" s="251" t="s">
        <v>785</v>
      </c>
      <c r="G358" s="251" t="s">
        <v>155</v>
      </c>
      <c r="H358" s="130">
        <v>80111600</v>
      </c>
      <c r="I358" s="253">
        <v>2</v>
      </c>
      <c r="J358" s="253">
        <v>11</v>
      </c>
      <c r="K358" s="126">
        <v>0</v>
      </c>
      <c r="L358" s="125">
        <v>40410000</v>
      </c>
      <c r="M358" s="251" t="s">
        <v>464</v>
      </c>
      <c r="N358" s="125" t="s">
        <v>113</v>
      </c>
      <c r="O358" s="252" t="s">
        <v>214</v>
      </c>
      <c r="P358" s="254" t="str">
        <f>IFERROR(VLOOKUP(C358,TD!$B$33:$F$37,2,0)," ")</f>
        <v>O230117</v>
      </c>
      <c r="Q358" s="254" t="str">
        <f>IFERROR(VLOOKUP(C358,TD!$B$33:$F$37,3,0)," ")</f>
        <v>4599</v>
      </c>
      <c r="R358" s="254">
        <f>IFERROR(VLOOKUP(C358,TD!$B$33:$F$37,4,0)," ")</f>
        <v>20240207</v>
      </c>
      <c r="S358" s="252" t="s">
        <v>179</v>
      </c>
      <c r="T358" s="254" t="str">
        <f>IFERROR(VLOOKUP(S358,TD!$J$34:$K$44,2,0)," ")</f>
        <v>Infraestructura Tecnológica   (Sistemas de Información y Tecnologia)</v>
      </c>
      <c r="U358" s="249" t="str">
        <f>CONCATENATE(S358,"-",T358)</f>
        <v>11-Infraestructura Tecnológica   (Sistemas de Información y Tecnologia)</v>
      </c>
      <c r="V358" s="252" t="s">
        <v>239</v>
      </c>
      <c r="W358" s="254" t="str">
        <f>IFERROR(VLOOKUP(V358,TD!$N$34:$O$46,2,0)," ")</f>
        <v>Servicios tecnológicos</v>
      </c>
      <c r="X358" s="249" t="str">
        <f>CONCATENATE(V358,"_",W358)</f>
        <v>007_Servicios tecnológicos</v>
      </c>
      <c r="Y358" s="249" t="str">
        <f>CONCATENATE(U358," ",X358)</f>
        <v>11-Infraestructura Tecnológica   (Sistemas de Información y Tecnologia) 007_Servicios tecnológicos</v>
      </c>
      <c r="Z358" s="254" t="str">
        <f>CONCATENATE(P358,Q358,R358,S358,V358)</f>
        <v>O23011745992024020711007</v>
      </c>
      <c r="AA358" s="254" t="str">
        <f>IFERROR(VLOOKUP(Y358,TD!$K$47:$L$65,2,0)," ")</f>
        <v>PM/0131/0111/45990070207</v>
      </c>
      <c r="AB358" s="125" t="s">
        <v>138</v>
      </c>
      <c r="AC358" s="255" t="s">
        <v>204</v>
      </c>
    </row>
    <row r="359" spans="2:29" s="28" customFormat="1" ht="56" x14ac:dyDescent="0.35">
      <c r="B359" s="127">
        <v>20250377</v>
      </c>
      <c r="C359" s="129" t="s">
        <v>208</v>
      </c>
      <c r="D359" s="251" t="s">
        <v>162</v>
      </c>
      <c r="E359" s="252" t="s">
        <v>355</v>
      </c>
      <c r="F359" s="251" t="s">
        <v>786</v>
      </c>
      <c r="G359" s="251" t="s">
        <v>155</v>
      </c>
      <c r="H359" s="130">
        <v>80111600</v>
      </c>
      <c r="I359" s="253">
        <v>2</v>
      </c>
      <c r="J359" s="253">
        <v>11</v>
      </c>
      <c r="K359" s="126">
        <v>0</v>
      </c>
      <c r="L359" s="125">
        <v>40410000</v>
      </c>
      <c r="M359" s="251" t="s">
        <v>464</v>
      </c>
      <c r="N359" s="125" t="s">
        <v>113</v>
      </c>
      <c r="O359" s="252" t="s">
        <v>214</v>
      </c>
      <c r="P359" s="254" t="str">
        <f>IFERROR(VLOOKUP(C359,TD!$B$33:$F$37,2,0)," ")</f>
        <v>O230117</v>
      </c>
      <c r="Q359" s="254" t="str">
        <f>IFERROR(VLOOKUP(C359,TD!$B$33:$F$37,3,0)," ")</f>
        <v>4599</v>
      </c>
      <c r="R359" s="254">
        <f>IFERROR(VLOOKUP(C359,TD!$B$33:$F$37,4,0)," ")</f>
        <v>20240207</v>
      </c>
      <c r="S359" s="252" t="s">
        <v>179</v>
      </c>
      <c r="T359" s="254" t="str">
        <f>IFERROR(VLOOKUP(S359,TD!$J$34:$K$44,2,0)," ")</f>
        <v>Infraestructura Tecnológica   (Sistemas de Información y Tecnologia)</v>
      </c>
      <c r="U359" s="249" t="str">
        <f>CONCATENATE(S359,"-",T359)</f>
        <v>11-Infraestructura Tecnológica   (Sistemas de Información y Tecnologia)</v>
      </c>
      <c r="V359" s="252" t="s">
        <v>239</v>
      </c>
      <c r="W359" s="254" t="str">
        <f>IFERROR(VLOOKUP(V359,TD!$N$34:$O$46,2,0)," ")</f>
        <v>Servicios tecnológicos</v>
      </c>
      <c r="X359" s="249" t="str">
        <f>CONCATENATE(V359,"_",W359)</f>
        <v>007_Servicios tecnológicos</v>
      </c>
      <c r="Y359" s="249" t="str">
        <f>CONCATENATE(U359," ",X359)</f>
        <v>11-Infraestructura Tecnológica   (Sistemas de Información y Tecnologia) 007_Servicios tecnológicos</v>
      </c>
      <c r="Z359" s="254" t="str">
        <f>CONCATENATE(P359,Q359,R359,S359,V359)</f>
        <v>O23011745992024020711007</v>
      </c>
      <c r="AA359" s="254" t="str">
        <f>IFERROR(VLOOKUP(Y359,TD!$K$47:$L$65,2,0)," ")</f>
        <v>PM/0131/0111/45990070207</v>
      </c>
      <c r="AB359" s="125" t="s">
        <v>138</v>
      </c>
      <c r="AC359" s="255" t="s">
        <v>204</v>
      </c>
    </row>
    <row r="360" spans="2:29" s="28" customFormat="1" ht="56" x14ac:dyDescent="0.35">
      <c r="B360" s="127">
        <v>20250378</v>
      </c>
      <c r="C360" s="129" t="s">
        <v>208</v>
      </c>
      <c r="D360" s="251" t="s">
        <v>162</v>
      </c>
      <c r="E360" s="252" t="s">
        <v>355</v>
      </c>
      <c r="F360" s="251" t="s">
        <v>787</v>
      </c>
      <c r="G360" s="251" t="s">
        <v>156</v>
      </c>
      <c r="H360" s="130">
        <v>80111600</v>
      </c>
      <c r="I360" s="253">
        <v>2</v>
      </c>
      <c r="J360" s="253">
        <v>11</v>
      </c>
      <c r="K360" s="126">
        <v>0</v>
      </c>
      <c r="L360" s="125">
        <v>15200000</v>
      </c>
      <c r="M360" s="251" t="s">
        <v>464</v>
      </c>
      <c r="N360" s="125" t="s">
        <v>113</v>
      </c>
      <c r="O360" s="252" t="s">
        <v>215</v>
      </c>
      <c r="P360" s="254" t="str">
        <f>IFERROR(VLOOKUP(C360,TD!$B$33:$F$37,2,0)," ")</f>
        <v>O230117</v>
      </c>
      <c r="Q360" s="254" t="str">
        <f>IFERROR(VLOOKUP(C360,TD!$B$33:$F$37,3,0)," ")</f>
        <v>4599</v>
      </c>
      <c r="R360" s="254">
        <f>IFERROR(VLOOKUP(C360,TD!$B$33:$F$37,4,0)," ")</f>
        <v>20240207</v>
      </c>
      <c r="S360" s="252" t="s">
        <v>179</v>
      </c>
      <c r="T360" s="254" t="str">
        <f>IFERROR(VLOOKUP(S360,TD!$J$34:$K$44,2,0)," ")</f>
        <v>Infraestructura Tecnológica   (Sistemas de Información y Tecnologia)</v>
      </c>
      <c r="U360" s="249" t="str">
        <f>CONCATENATE(S360,"-",T360)</f>
        <v>11-Infraestructura Tecnológica   (Sistemas de Información y Tecnologia)</v>
      </c>
      <c r="V360" s="252" t="s">
        <v>239</v>
      </c>
      <c r="W360" s="254" t="str">
        <f>IFERROR(VLOOKUP(V360,TD!$N$34:$O$46,2,0)," ")</f>
        <v>Servicios tecnológicos</v>
      </c>
      <c r="X360" s="249" t="str">
        <f>CONCATENATE(V360,"_",W360)</f>
        <v>007_Servicios tecnológicos</v>
      </c>
      <c r="Y360" s="249" t="str">
        <f>CONCATENATE(U360," ",X360)</f>
        <v>11-Infraestructura Tecnológica   (Sistemas de Información y Tecnologia) 007_Servicios tecnológicos</v>
      </c>
      <c r="Z360" s="254" t="str">
        <f>CONCATENATE(P360,Q360,R360,S360,V360)</f>
        <v>O23011745992024020711007</v>
      </c>
      <c r="AA360" s="254" t="str">
        <f>IFERROR(VLOOKUP(Y360,TD!$K$47:$L$65,2,0)," ")</f>
        <v>PM/0131/0111/45990070207</v>
      </c>
      <c r="AB360" s="125" t="s">
        <v>138</v>
      </c>
      <c r="AC360" s="255" t="s">
        <v>204</v>
      </c>
    </row>
    <row r="361" spans="2:29" s="28" customFormat="1" ht="56" x14ac:dyDescent="0.35">
      <c r="B361" s="127">
        <v>20250379</v>
      </c>
      <c r="C361" s="129" t="s">
        <v>208</v>
      </c>
      <c r="D361" s="251" t="s">
        <v>162</v>
      </c>
      <c r="E361" s="252" t="s">
        <v>355</v>
      </c>
      <c r="F361" s="251" t="s">
        <v>788</v>
      </c>
      <c r="G361" s="251" t="s">
        <v>155</v>
      </c>
      <c r="H361" s="130">
        <v>80111600</v>
      </c>
      <c r="I361" s="253">
        <v>2</v>
      </c>
      <c r="J361" s="253">
        <v>11</v>
      </c>
      <c r="K361" s="126">
        <v>0</v>
      </c>
      <c r="L361" s="125">
        <v>25800000</v>
      </c>
      <c r="M361" s="251" t="s">
        <v>464</v>
      </c>
      <c r="N361" s="125" t="s">
        <v>113</v>
      </c>
      <c r="O361" s="252" t="s">
        <v>215</v>
      </c>
      <c r="P361" s="254" t="str">
        <f>IFERROR(VLOOKUP(C361,TD!$B$33:$F$37,2,0)," ")</f>
        <v>O230117</v>
      </c>
      <c r="Q361" s="254" t="str">
        <f>IFERROR(VLOOKUP(C361,TD!$B$33:$F$37,3,0)," ")</f>
        <v>4599</v>
      </c>
      <c r="R361" s="254">
        <f>IFERROR(VLOOKUP(C361,TD!$B$33:$F$37,4,0)," ")</f>
        <v>20240207</v>
      </c>
      <c r="S361" s="252" t="s">
        <v>179</v>
      </c>
      <c r="T361" s="254" t="str">
        <f>IFERROR(VLOOKUP(S361,TD!$J$34:$K$44,2,0)," ")</f>
        <v>Infraestructura Tecnológica   (Sistemas de Información y Tecnologia)</v>
      </c>
      <c r="U361" s="249" t="str">
        <f>CONCATENATE(S361,"-",T361)</f>
        <v>11-Infraestructura Tecnológica   (Sistemas de Información y Tecnologia)</v>
      </c>
      <c r="V361" s="252" t="s">
        <v>239</v>
      </c>
      <c r="W361" s="254" t="str">
        <f>IFERROR(VLOOKUP(V361,TD!$N$34:$O$46,2,0)," ")</f>
        <v>Servicios tecnológicos</v>
      </c>
      <c r="X361" s="249" t="str">
        <f>CONCATENATE(V361,"_",W361)</f>
        <v>007_Servicios tecnológicos</v>
      </c>
      <c r="Y361" s="249" t="str">
        <f>CONCATENATE(U361," ",X361)</f>
        <v>11-Infraestructura Tecnológica   (Sistemas de Información y Tecnologia) 007_Servicios tecnológicos</v>
      </c>
      <c r="Z361" s="254" t="str">
        <f>CONCATENATE(P361,Q361,R361,S361,V361)</f>
        <v>O23011745992024020711007</v>
      </c>
      <c r="AA361" s="254" t="str">
        <f>IFERROR(VLOOKUP(Y361,TD!$K$47:$L$65,2,0)," ")</f>
        <v>PM/0131/0111/45990070207</v>
      </c>
      <c r="AB361" s="125" t="s">
        <v>138</v>
      </c>
      <c r="AC361" s="255" t="s">
        <v>204</v>
      </c>
    </row>
    <row r="362" spans="2:29" s="28" customFormat="1" ht="56" x14ac:dyDescent="0.35">
      <c r="B362" s="127">
        <v>20250380</v>
      </c>
      <c r="C362" s="129" t="s">
        <v>208</v>
      </c>
      <c r="D362" s="251" t="s">
        <v>162</v>
      </c>
      <c r="E362" s="252" t="s">
        <v>355</v>
      </c>
      <c r="F362" s="251" t="s">
        <v>789</v>
      </c>
      <c r="G362" s="251" t="s">
        <v>155</v>
      </c>
      <c r="H362" s="130">
        <v>80111600</v>
      </c>
      <c r="I362" s="253">
        <v>2</v>
      </c>
      <c r="J362" s="253">
        <v>11</v>
      </c>
      <c r="K362" s="126">
        <v>0</v>
      </c>
      <c r="L362" s="125">
        <v>47500000</v>
      </c>
      <c r="M362" s="251" t="s">
        <v>464</v>
      </c>
      <c r="N362" s="125" t="s">
        <v>113</v>
      </c>
      <c r="O362" s="252" t="s">
        <v>215</v>
      </c>
      <c r="P362" s="254" t="str">
        <f>IFERROR(VLOOKUP(C362,TD!$B$33:$F$37,2,0)," ")</f>
        <v>O230117</v>
      </c>
      <c r="Q362" s="254" t="str">
        <f>IFERROR(VLOOKUP(C362,TD!$B$33:$F$37,3,0)," ")</f>
        <v>4599</v>
      </c>
      <c r="R362" s="254">
        <f>IFERROR(VLOOKUP(C362,TD!$B$33:$F$37,4,0)," ")</f>
        <v>20240207</v>
      </c>
      <c r="S362" s="252" t="s">
        <v>179</v>
      </c>
      <c r="T362" s="254" t="str">
        <f>IFERROR(VLOOKUP(S362,TD!$J$34:$K$44,2,0)," ")</f>
        <v>Infraestructura Tecnológica   (Sistemas de Información y Tecnologia)</v>
      </c>
      <c r="U362" s="249" t="str">
        <f>CONCATENATE(S362,"-",T362)</f>
        <v>11-Infraestructura Tecnológica   (Sistemas de Información y Tecnologia)</v>
      </c>
      <c r="V362" s="252" t="s">
        <v>239</v>
      </c>
      <c r="W362" s="254" t="str">
        <f>IFERROR(VLOOKUP(V362,TD!$N$34:$O$46,2,0)," ")</f>
        <v>Servicios tecnológicos</v>
      </c>
      <c r="X362" s="249" t="str">
        <f>CONCATENATE(V362,"_",W362)</f>
        <v>007_Servicios tecnológicos</v>
      </c>
      <c r="Y362" s="249" t="str">
        <f>CONCATENATE(U362," ",X362)</f>
        <v>11-Infraestructura Tecnológica   (Sistemas de Información y Tecnologia) 007_Servicios tecnológicos</v>
      </c>
      <c r="Z362" s="254" t="str">
        <f>CONCATENATE(P362,Q362,R362,S362,V362)</f>
        <v>O23011745992024020711007</v>
      </c>
      <c r="AA362" s="254" t="str">
        <f>IFERROR(VLOOKUP(Y362,TD!$K$47:$L$65,2,0)," ")</f>
        <v>PM/0131/0111/45990070207</v>
      </c>
      <c r="AB362" s="125" t="s">
        <v>120</v>
      </c>
      <c r="AC362" s="252" t="s">
        <v>204</v>
      </c>
    </row>
    <row r="363" spans="2:29" s="28" customFormat="1" ht="56" x14ac:dyDescent="0.35">
      <c r="B363" s="127">
        <v>20250381</v>
      </c>
      <c r="C363" s="129" t="s">
        <v>208</v>
      </c>
      <c r="D363" s="251" t="s">
        <v>162</v>
      </c>
      <c r="E363" s="252" t="s">
        <v>355</v>
      </c>
      <c r="F363" s="251" t="s">
        <v>790</v>
      </c>
      <c r="G363" s="251" t="s">
        <v>155</v>
      </c>
      <c r="H363" s="130">
        <v>80111600</v>
      </c>
      <c r="I363" s="253">
        <v>2</v>
      </c>
      <c r="J363" s="253">
        <v>11</v>
      </c>
      <c r="K363" s="126">
        <v>0</v>
      </c>
      <c r="L363" s="125">
        <v>39000000</v>
      </c>
      <c r="M363" s="251" t="s">
        <v>464</v>
      </c>
      <c r="N363" s="125" t="s">
        <v>113</v>
      </c>
      <c r="O363" s="252" t="s">
        <v>215</v>
      </c>
      <c r="P363" s="254" t="str">
        <f>IFERROR(VLOOKUP(C363,TD!$B$33:$F$37,2,0)," ")</f>
        <v>O230117</v>
      </c>
      <c r="Q363" s="254" t="str">
        <f>IFERROR(VLOOKUP(C363,TD!$B$33:$F$37,3,0)," ")</f>
        <v>4599</v>
      </c>
      <c r="R363" s="254">
        <f>IFERROR(VLOOKUP(C363,TD!$B$33:$F$37,4,0)," ")</f>
        <v>20240207</v>
      </c>
      <c r="S363" s="252" t="s">
        <v>179</v>
      </c>
      <c r="T363" s="254" t="str">
        <f>IFERROR(VLOOKUP(S363,TD!$J$34:$K$44,2,0)," ")</f>
        <v>Infraestructura Tecnológica   (Sistemas de Información y Tecnologia)</v>
      </c>
      <c r="U363" s="249" t="str">
        <f>CONCATENATE(S363,"-",T363)</f>
        <v>11-Infraestructura Tecnológica   (Sistemas de Información y Tecnologia)</v>
      </c>
      <c r="V363" s="252" t="s">
        <v>239</v>
      </c>
      <c r="W363" s="254" t="str">
        <f>IFERROR(VLOOKUP(V363,TD!$N$34:$O$46,2,0)," ")</f>
        <v>Servicios tecnológicos</v>
      </c>
      <c r="X363" s="249" t="str">
        <f>CONCATENATE(V363,"_",W363)</f>
        <v>007_Servicios tecnológicos</v>
      </c>
      <c r="Y363" s="249" t="str">
        <f>CONCATENATE(U363," ",X363)</f>
        <v>11-Infraestructura Tecnológica   (Sistemas de Información y Tecnologia) 007_Servicios tecnológicos</v>
      </c>
      <c r="Z363" s="254" t="str">
        <f>CONCATENATE(P363,Q363,R363,S363,V363)</f>
        <v>O23011745992024020711007</v>
      </c>
      <c r="AA363" s="254" t="str">
        <f>IFERROR(VLOOKUP(Y363,TD!$K$47:$L$65,2,0)," ")</f>
        <v>PM/0131/0111/45990070207</v>
      </c>
      <c r="AB363" s="125" t="s">
        <v>120</v>
      </c>
      <c r="AC363" s="255" t="s">
        <v>204</v>
      </c>
    </row>
    <row r="364" spans="2:29" s="28" customFormat="1" ht="56" x14ac:dyDescent="0.35">
      <c r="B364" s="127">
        <v>20250383</v>
      </c>
      <c r="C364" s="129" t="s">
        <v>208</v>
      </c>
      <c r="D364" s="251" t="s">
        <v>162</v>
      </c>
      <c r="E364" s="252" t="s">
        <v>355</v>
      </c>
      <c r="F364" s="251" t="s">
        <v>547</v>
      </c>
      <c r="G364" s="251" t="s">
        <v>96</v>
      </c>
      <c r="H364" s="130" t="s">
        <v>791</v>
      </c>
      <c r="I364" s="253">
        <v>3</v>
      </c>
      <c r="J364" s="253">
        <v>9</v>
      </c>
      <c r="K364" s="126">
        <v>0</v>
      </c>
      <c r="L364" s="125">
        <v>95933779</v>
      </c>
      <c r="M364" s="251" t="s">
        <v>464</v>
      </c>
      <c r="N364" s="125" t="s">
        <v>123</v>
      </c>
      <c r="O364" s="252" t="s">
        <v>214</v>
      </c>
      <c r="P364" s="254" t="str">
        <f>IFERROR(VLOOKUP(C364,TD!$B$33:$F$37,2,0)," ")</f>
        <v>O230117</v>
      </c>
      <c r="Q364" s="254" t="str">
        <f>IFERROR(VLOOKUP(C364,TD!$B$33:$F$37,3,0)," ")</f>
        <v>4599</v>
      </c>
      <c r="R364" s="254">
        <f>IFERROR(VLOOKUP(C364,TD!$B$33:$F$37,4,0)," ")</f>
        <v>20240207</v>
      </c>
      <c r="S364" s="252" t="s">
        <v>179</v>
      </c>
      <c r="T364" s="254" t="str">
        <f>IFERROR(VLOOKUP(S364,TD!$J$34:$K$44,2,0)," ")</f>
        <v>Infraestructura Tecnológica   (Sistemas de Información y Tecnologia)</v>
      </c>
      <c r="U364" s="249" t="str">
        <f>CONCATENATE(S364,"-",T364)</f>
        <v>11-Infraestructura Tecnológica   (Sistemas de Información y Tecnologia)</v>
      </c>
      <c r="V364" s="252" t="s">
        <v>239</v>
      </c>
      <c r="W364" s="254" t="str">
        <f>IFERROR(VLOOKUP(V364,TD!$N$34:$O$46,2,0)," ")</f>
        <v>Servicios tecnológicos</v>
      </c>
      <c r="X364" s="249" t="str">
        <f>CONCATENATE(V364,"_",W364)</f>
        <v>007_Servicios tecnológicos</v>
      </c>
      <c r="Y364" s="249" t="str">
        <f>CONCATENATE(U364," ",X364)</f>
        <v>11-Infraestructura Tecnológica   (Sistemas de Información y Tecnologia) 007_Servicios tecnológicos</v>
      </c>
      <c r="Z364" s="254" t="str">
        <f>CONCATENATE(P364,Q364,R364,S364,V364)</f>
        <v>O23011745992024020711007</v>
      </c>
      <c r="AA364" s="254" t="str">
        <f>IFERROR(VLOOKUP(Y364,TD!$K$47:$L$65,2,0)," ")</f>
        <v>PM/0131/0111/45990070207</v>
      </c>
      <c r="AB364" s="125" t="s">
        <v>125</v>
      </c>
      <c r="AC364" s="255" t="s">
        <v>204</v>
      </c>
    </row>
    <row r="365" spans="2:29" s="28" customFormat="1" ht="112" x14ac:dyDescent="0.35">
      <c r="B365" s="127">
        <v>20250385</v>
      </c>
      <c r="C365" s="129" t="s">
        <v>208</v>
      </c>
      <c r="D365" s="251" t="s">
        <v>162</v>
      </c>
      <c r="E365" s="252" t="s">
        <v>355</v>
      </c>
      <c r="F365" s="251" t="s">
        <v>905</v>
      </c>
      <c r="G365" s="251" t="s">
        <v>109</v>
      </c>
      <c r="H365" s="130">
        <v>81111801</v>
      </c>
      <c r="I365" s="253">
        <v>10</v>
      </c>
      <c r="J365" s="253">
        <v>12</v>
      </c>
      <c r="K365" s="126">
        <v>0</v>
      </c>
      <c r="L365" s="125">
        <v>2334780</v>
      </c>
      <c r="M365" s="251" t="s">
        <v>464</v>
      </c>
      <c r="N365" s="125" t="s">
        <v>100</v>
      </c>
      <c r="O365" s="252" t="s">
        <v>214</v>
      </c>
      <c r="P365" s="254" t="str">
        <f>IFERROR(VLOOKUP(C365,TD!$B$33:$F$37,2,0)," ")</f>
        <v>O230117</v>
      </c>
      <c r="Q365" s="254" t="str">
        <f>IFERROR(VLOOKUP(C365,TD!$B$33:$F$37,3,0)," ")</f>
        <v>4599</v>
      </c>
      <c r="R365" s="254">
        <f>IFERROR(VLOOKUP(C365,TD!$B$33:$F$37,4,0)," ")</f>
        <v>20240207</v>
      </c>
      <c r="S365" s="252" t="s">
        <v>179</v>
      </c>
      <c r="T365" s="254" t="str">
        <f>IFERROR(VLOOKUP(S365,TD!$J$34:$K$44,2,0)," ")</f>
        <v>Infraestructura Tecnológica   (Sistemas de Información y Tecnologia)</v>
      </c>
      <c r="U365" s="249" t="str">
        <f>CONCATENATE(S365,"-",T365)</f>
        <v>11-Infraestructura Tecnológica   (Sistemas de Información y Tecnologia)</v>
      </c>
      <c r="V365" s="252" t="s">
        <v>239</v>
      </c>
      <c r="W365" s="254" t="str">
        <f>IFERROR(VLOOKUP(V365,TD!$N$34:$O$46,2,0)," ")</f>
        <v>Servicios tecnológicos</v>
      </c>
      <c r="X365" s="249" t="str">
        <f>CONCATENATE(V365,"_",W365)</f>
        <v>007_Servicios tecnológicos</v>
      </c>
      <c r="Y365" s="249" t="str">
        <f>CONCATENATE(U365," ",X365)</f>
        <v>11-Infraestructura Tecnológica   (Sistemas de Información y Tecnologia) 007_Servicios tecnológicos</v>
      </c>
      <c r="Z365" s="254" t="str">
        <f>CONCATENATE(P365,Q365,R365,S365,V365)</f>
        <v>O23011745992024020711007</v>
      </c>
      <c r="AA365" s="254" t="str">
        <f>IFERROR(VLOOKUP(Y365,TD!$K$47:$L$65,2,0)," ")</f>
        <v>PM/0131/0111/45990070207</v>
      </c>
      <c r="AB365" s="125" t="s">
        <v>125</v>
      </c>
      <c r="AC365" s="255" t="s">
        <v>204</v>
      </c>
    </row>
    <row r="366" spans="2:29" s="28" customFormat="1" ht="56" x14ac:dyDescent="0.35">
      <c r="B366" s="127">
        <v>20250386</v>
      </c>
      <c r="C366" s="129" t="s">
        <v>208</v>
      </c>
      <c r="D366" s="251" t="s">
        <v>162</v>
      </c>
      <c r="E366" s="252" t="s">
        <v>355</v>
      </c>
      <c r="F366" s="251" t="s">
        <v>549</v>
      </c>
      <c r="G366" s="251" t="s">
        <v>152</v>
      </c>
      <c r="H366" s="130" t="s">
        <v>550</v>
      </c>
      <c r="I366" s="253">
        <v>3</v>
      </c>
      <c r="J366" s="253">
        <v>9</v>
      </c>
      <c r="K366" s="126">
        <v>0</v>
      </c>
      <c r="L366" s="125">
        <v>216142630</v>
      </c>
      <c r="M366" s="251" t="s">
        <v>464</v>
      </c>
      <c r="N366" s="125" t="s">
        <v>95</v>
      </c>
      <c r="O366" s="252" t="s">
        <v>217</v>
      </c>
      <c r="P366" s="254" t="str">
        <f>IFERROR(VLOOKUP(C366,TD!$B$33:$F$37,2,0)," ")</f>
        <v>O230117</v>
      </c>
      <c r="Q366" s="254" t="str">
        <f>IFERROR(VLOOKUP(C366,TD!$B$33:$F$37,3,0)," ")</f>
        <v>4599</v>
      </c>
      <c r="R366" s="254">
        <f>IFERROR(VLOOKUP(C366,TD!$B$33:$F$37,4,0)," ")</f>
        <v>20240207</v>
      </c>
      <c r="S366" s="252" t="s">
        <v>179</v>
      </c>
      <c r="T366" s="254" t="str">
        <f>IFERROR(VLOOKUP(S366,TD!$J$34:$K$44,2,0)," ")</f>
        <v>Infraestructura Tecnológica   (Sistemas de Información y Tecnologia)</v>
      </c>
      <c r="U366" s="249" t="str">
        <f>CONCATENATE(S366,"-",T366)</f>
        <v>11-Infraestructura Tecnológica   (Sistemas de Información y Tecnologia)</v>
      </c>
      <c r="V366" s="252" t="s">
        <v>239</v>
      </c>
      <c r="W366" s="254" t="str">
        <f>IFERROR(VLOOKUP(V366,TD!$N$34:$O$46,2,0)," ")</f>
        <v>Servicios tecnológicos</v>
      </c>
      <c r="X366" s="249" t="str">
        <f>CONCATENATE(V366,"_",W366)</f>
        <v>007_Servicios tecnológicos</v>
      </c>
      <c r="Y366" s="249" t="str">
        <f>CONCATENATE(U366," ",X366)</f>
        <v>11-Infraestructura Tecnológica   (Sistemas de Información y Tecnologia) 007_Servicios tecnológicos</v>
      </c>
      <c r="Z366" s="254" t="str">
        <f>CONCATENATE(P366,Q366,R366,S366,V366)</f>
        <v>O23011745992024020711007</v>
      </c>
      <c r="AA366" s="254" t="str">
        <f>IFERROR(VLOOKUP(Y366,TD!$K$47:$L$65,2,0)," ")</f>
        <v>PM/0131/0111/45990070207</v>
      </c>
      <c r="AB366" s="125" t="s">
        <v>125</v>
      </c>
      <c r="AC366" s="255" t="s">
        <v>204</v>
      </c>
    </row>
    <row r="367" spans="2:29" s="28" customFormat="1" ht="56" x14ac:dyDescent="0.35">
      <c r="B367" s="127">
        <v>20250388</v>
      </c>
      <c r="C367" s="129" t="s">
        <v>208</v>
      </c>
      <c r="D367" s="251" t="s">
        <v>162</v>
      </c>
      <c r="E367" s="252" t="s">
        <v>355</v>
      </c>
      <c r="F367" s="251" t="s">
        <v>551</v>
      </c>
      <c r="G367" s="251" t="s">
        <v>96</v>
      </c>
      <c r="H367" s="130" t="s">
        <v>552</v>
      </c>
      <c r="I367" s="253">
        <v>3</v>
      </c>
      <c r="J367" s="253">
        <v>9</v>
      </c>
      <c r="K367" s="126">
        <v>0</v>
      </c>
      <c r="L367" s="125">
        <v>688906483</v>
      </c>
      <c r="M367" s="251" t="s">
        <v>464</v>
      </c>
      <c r="N367" s="125" t="s">
        <v>123</v>
      </c>
      <c r="O367" s="252" t="s">
        <v>214</v>
      </c>
      <c r="P367" s="254" t="str">
        <f>IFERROR(VLOOKUP(C367,TD!$B$33:$F$37,2,0)," ")</f>
        <v>O230117</v>
      </c>
      <c r="Q367" s="254" t="str">
        <f>IFERROR(VLOOKUP(C367,TD!$B$33:$F$37,3,0)," ")</f>
        <v>4599</v>
      </c>
      <c r="R367" s="254">
        <f>IFERROR(VLOOKUP(C367,TD!$B$33:$F$37,4,0)," ")</f>
        <v>20240207</v>
      </c>
      <c r="S367" s="252" t="s">
        <v>179</v>
      </c>
      <c r="T367" s="254" t="str">
        <f>IFERROR(VLOOKUP(S367,TD!$J$34:$K$44,2,0)," ")</f>
        <v>Infraestructura Tecnológica   (Sistemas de Información y Tecnologia)</v>
      </c>
      <c r="U367" s="249" t="str">
        <f>CONCATENATE(S367,"-",T367)</f>
        <v>11-Infraestructura Tecnológica   (Sistemas de Información y Tecnologia)</v>
      </c>
      <c r="V367" s="252" t="s">
        <v>239</v>
      </c>
      <c r="W367" s="254" t="str">
        <f>IFERROR(VLOOKUP(V367,TD!$N$34:$O$46,2,0)," ")</f>
        <v>Servicios tecnológicos</v>
      </c>
      <c r="X367" s="249" t="str">
        <f>CONCATENATE(V367,"_",W367)</f>
        <v>007_Servicios tecnológicos</v>
      </c>
      <c r="Y367" s="249" t="str">
        <f>CONCATENATE(U367," ",X367)</f>
        <v>11-Infraestructura Tecnológica   (Sistemas de Información y Tecnologia) 007_Servicios tecnológicos</v>
      </c>
      <c r="Z367" s="254" t="str">
        <f>CONCATENATE(P367,Q367,R367,S367,V367)</f>
        <v>O23011745992024020711007</v>
      </c>
      <c r="AA367" s="254" t="str">
        <f>IFERROR(VLOOKUP(Y367,TD!$K$47:$L$65,2,0)," ")</f>
        <v>PM/0131/0111/45990070207</v>
      </c>
      <c r="AB367" s="125" t="s">
        <v>130</v>
      </c>
      <c r="AC367" s="255" t="s">
        <v>204</v>
      </c>
    </row>
    <row r="368" spans="2:29" s="28" customFormat="1" ht="56" x14ac:dyDescent="0.35">
      <c r="B368" s="127">
        <v>20250389</v>
      </c>
      <c r="C368" s="129" t="s">
        <v>208</v>
      </c>
      <c r="D368" s="251" t="s">
        <v>162</v>
      </c>
      <c r="E368" s="252" t="s">
        <v>355</v>
      </c>
      <c r="F368" s="251" t="s">
        <v>553</v>
      </c>
      <c r="G368" s="251" t="s">
        <v>153</v>
      </c>
      <c r="H368" s="130">
        <v>81112401</v>
      </c>
      <c r="I368" s="253">
        <v>3</v>
      </c>
      <c r="J368" s="253">
        <v>9</v>
      </c>
      <c r="K368" s="126">
        <v>0</v>
      </c>
      <c r="L368" s="125">
        <v>26656000</v>
      </c>
      <c r="M368" s="251" t="s">
        <v>464</v>
      </c>
      <c r="N368" s="125" t="s">
        <v>100</v>
      </c>
      <c r="O368" s="252" t="s">
        <v>215</v>
      </c>
      <c r="P368" s="254" t="str">
        <f>IFERROR(VLOOKUP(C368,TD!$B$33:$F$37,2,0)," ")</f>
        <v>O230117</v>
      </c>
      <c r="Q368" s="254" t="str">
        <f>IFERROR(VLOOKUP(C368,TD!$B$33:$F$37,3,0)," ")</f>
        <v>4599</v>
      </c>
      <c r="R368" s="254">
        <f>IFERROR(VLOOKUP(C368,TD!$B$33:$F$37,4,0)," ")</f>
        <v>20240207</v>
      </c>
      <c r="S368" s="252" t="s">
        <v>179</v>
      </c>
      <c r="T368" s="254" t="str">
        <f>IFERROR(VLOOKUP(S368,TD!$J$34:$K$44,2,0)," ")</f>
        <v>Infraestructura Tecnológica   (Sistemas de Información y Tecnologia)</v>
      </c>
      <c r="U368" s="249" t="str">
        <f>CONCATENATE(S368,"-",T368)</f>
        <v>11-Infraestructura Tecnológica   (Sistemas de Información y Tecnologia)</v>
      </c>
      <c r="V368" s="254" t="s">
        <v>239</v>
      </c>
      <c r="W368" s="254" t="str">
        <f>IFERROR(VLOOKUP(V368,TD!$N$34:$O$46,2,0)," ")</f>
        <v>Servicios tecnológicos</v>
      </c>
      <c r="X368" s="290" t="str">
        <f>CONCATENATE(V368,"_",W368)</f>
        <v>007_Servicios tecnológicos</v>
      </c>
      <c r="Y368" s="109" t="str">
        <f>CONCATENATE(U368," ",X368)</f>
        <v>11-Infraestructura Tecnológica   (Sistemas de Información y Tecnologia) 007_Servicios tecnológicos</v>
      </c>
      <c r="Z368" s="252" t="str">
        <f>CONCATENATE(P368,Q368,R368,S368,V368)</f>
        <v>O23011745992024020711007</v>
      </c>
      <c r="AA368" s="291" t="str">
        <f>IFERROR(VLOOKUP(Y368,TD!$K$47:$L$65,2,0)," ")</f>
        <v>PM/0131/0111/45990070207</v>
      </c>
      <c r="AB368" s="251" t="s">
        <v>130</v>
      </c>
      <c r="AC368" s="255" t="s">
        <v>204</v>
      </c>
    </row>
    <row r="369" spans="2:29" s="28" customFormat="1" ht="56" x14ac:dyDescent="0.35">
      <c r="B369" s="127">
        <v>20250390</v>
      </c>
      <c r="C369" s="129" t="s">
        <v>208</v>
      </c>
      <c r="D369" s="251" t="s">
        <v>162</v>
      </c>
      <c r="E369" s="252" t="s">
        <v>355</v>
      </c>
      <c r="F369" s="251" t="s">
        <v>554</v>
      </c>
      <c r="G369" s="251" t="s">
        <v>139</v>
      </c>
      <c r="H369" s="130" t="s">
        <v>413</v>
      </c>
      <c r="I369" s="253">
        <v>3</v>
      </c>
      <c r="J369" s="253">
        <v>9</v>
      </c>
      <c r="K369" s="126">
        <v>0</v>
      </c>
      <c r="L369" s="125">
        <v>169000000</v>
      </c>
      <c r="M369" s="251" t="s">
        <v>464</v>
      </c>
      <c r="N369" s="125" t="s">
        <v>113</v>
      </c>
      <c r="O369" s="252" t="s">
        <v>214</v>
      </c>
      <c r="P369" s="254" t="str">
        <f>IFERROR(VLOOKUP(C369,TD!$B$33:$F$37,2,0)," ")</f>
        <v>O230117</v>
      </c>
      <c r="Q369" s="254" t="str">
        <f>IFERROR(VLOOKUP(C369,TD!$B$33:$F$37,3,0)," ")</f>
        <v>4599</v>
      </c>
      <c r="R369" s="254">
        <f>IFERROR(VLOOKUP(C369,TD!$B$33:$F$37,4,0)," ")</f>
        <v>20240207</v>
      </c>
      <c r="S369" s="252" t="s">
        <v>179</v>
      </c>
      <c r="T369" s="254" t="str">
        <f>IFERROR(VLOOKUP(S369,TD!$J$34:$K$44,2,0)," ")</f>
        <v>Infraestructura Tecnológica   (Sistemas de Información y Tecnologia)</v>
      </c>
      <c r="U369" s="249" t="str">
        <f>CONCATENATE(S369,"-",T369)</f>
        <v>11-Infraestructura Tecnológica   (Sistemas de Información y Tecnologia)</v>
      </c>
      <c r="V369" s="252" t="s">
        <v>239</v>
      </c>
      <c r="W369" s="254" t="str">
        <f>IFERROR(VLOOKUP(V369,TD!$N$34:$O$46,2,0)," ")</f>
        <v>Servicios tecnológicos</v>
      </c>
      <c r="X369" s="249" t="str">
        <f>CONCATENATE(V369,"_",W369)</f>
        <v>007_Servicios tecnológicos</v>
      </c>
      <c r="Y369" s="249" t="str">
        <f>CONCATENATE(U369," ",X369)</f>
        <v>11-Infraestructura Tecnológica   (Sistemas de Información y Tecnologia) 007_Servicios tecnológicos</v>
      </c>
      <c r="Z369" s="254" t="str">
        <f>CONCATENATE(P369,Q369,R369,S369,V369)</f>
        <v>O23011745992024020711007</v>
      </c>
      <c r="AA369" s="254" t="str">
        <f>IFERROR(VLOOKUP(Y369,TD!$K$47:$L$65,2,0)," ")</f>
        <v>PM/0131/0111/45990070207</v>
      </c>
      <c r="AB369" s="125" t="s">
        <v>125</v>
      </c>
      <c r="AC369" s="255" t="s">
        <v>204</v>
      </c>
    </row>
    <row r="370" spans="2:29" s="28" customFormat="1" ht="56" x14ac:dyDescent="0.35">
      <c r="B370" s="77">
        <v>20250394</v>
      </c>
      <c r="C370" s="50" t="s">
        <v>208</v>
      </c>
      <c r="D370" s="246" t="s">
        <v>162</v>
      </c>
      <c r="E370" s="51" t="s">
        <v>355</v>
      </c>
      <c r="F370" s="246" t="s">
        <v>555</v>
      </c>
      <c r="G370" s="246" t="s">
        <v>96</v>
      </c>
      <c r="H370" s="93" t="s">
        <v>414</v>
      </c>
      <c r="I370" s="247">
        <v>3</v>
      </c>
      <c r="J370" s="247">
        <v>9</v>
      </c>
      <c r="K370" s="52">
        <v>0</v>
      </c>
      <c r="L370" s="53">
        <v>500000000</v>
      </c>
      <c r="M370" s="246" t="s">
        <v>464</v>
      </c>
      <c r="N370" s="53" t="s">
        <v>113</v>
      </c>
      <c r="O370" s="51" t="s">
        <v>215</v>
      </c>
      <c r="P370" s="248" t="str">
        <f>IFERROR(VLOOKUP(C370,TD!$B$33:$F$37,2,0)," ")</f>
        <v>O230117</v>
      </c>
      <c r="Q370" s="248" t="str">
        <f>IFERROR(VLOOKUP(C370,TD!$B$33:$F$37,3,0)," ")</f>
        <v>4599</v>
      </c>
      <c r="R370" s="248">
        <f>IFERROR(VLOOKUP(C370,TD!$B$33:$F$37,4,0)," ")</f>
        <v>20240207</v>
      </c>
      <c r="S370" s="51" t="s">
        <v>179</v>
      </c>
      <c r="T370" s="248" t="str">
        <f>IFERROR(VLOOKUP(S370,TD!$J$34:$K$44,2,0)," ")</f>
        <v>Infraestructura Tecnológica   (Sistemas de Información y Tecnologia)</v>
      </c>
      <c r="U370" s="249" t="str">
        <f>CONCATENATE(S370,"-",T370)</f>
        <v>11-Infraestructura Tecnológica   (Sistemas de Información y Tecnologia)</v>
      </c>
      <c r="V370" s="51" t="s">
        <v>239</v>
      </c>
      <c r="W370" s="248" t="str">
        <f>IFERROR(VLOOKUP(V370,TD!$N$34:$O$46,2,0)," ")</f>
        <v>Servicios tecnológicos</v>
      </c>
      <c r="X370" s="249" t="str">
        <f>CONCATENATE(V370,"_",W370)</f>
        <v>007_Servicios tecnológicos</v>
      </c>
      <c r="Y370" s="249" t="str">
        <f>CONCATENATE(U370," ",X370)</f>
        <v>11-Infraestructura Tecnológica   (Sistemas de Información y Tecnologia) 007_Servicios tecnológicos</v>
      </c>
      <c r="Z370" s="248" t="str">
        <f>CONCATENATE(P370,Q370,R370,S370,V370)</f>
        <v>O23011745992024020711007</v>
      </c>
      <c r="AA370" s="248" t="str">
        <f>IFERROR(VLOOKUP(Y370,TD!$K$47:$L$65,2,0)," ")</f>
        <v>PM/0131/0111/45990070207</v>
      </c>
      <c r="AB370" s="53" t="s">
        <v>125</v>
      </c>
      <c r="AC370" s="250" t="s">
        <v>204</v>
      </c>
    </row>
    <row r="371" spans="2:29" s="28" customFormat="1" ht="70" x14ac:dyDescent="0.35">
      <c r="B371" s="77">
        <v>20250396</v>
      </c>
      <c r="C371" s="50" t="s">
        <v>208</v>
      </c>
      <c r="D371" s="246" t="s">
        <v>162</v>
      </c>
      <c r="E371" s="51" t="s">
        <v>355</v>
      </c>
      <c r="F371" s="246" t="s">
        <v>792</v>
      </c>
      <c r="G371" s="246" t="s">
        <v>146</v>
      </c>
      <c r="H371" s="93" t="s">
        <v>793</v>
      </c>
      <c r="I371" s="247">
        <v>3</v>
      </c>
      <c r="J371" s="247">
        <v>9</v>
      </c>
      <c r="K371" s="52">
        <v>0</v>
      </c>
      <c r="L371" s="53">
        <v>200000000</v>
      </c>
      <c r="M371" s="246" t="s">
        <v>464</v>
      </c>
      <c r="N371" s="53" t="s">
        <v>95</v>
      </c>
      <c r="O371" s="51" t="s">
        <v>215</v>
      </c>
      <c r="P371" s="248" t="str">
        <f>IFERROR(VLOOKUP(C371,TD!$B$33:$F$37,2,0)," ")</f>
        <v>O230117</v>
      </c>
      <c r="Q371" s="248" t="str">
        <f>IFERROR(VLOOKUP(C371,TD!$B$33:$F$37,3,0)," ")</f>
        <v>4599</v>
      </c>
      <c r="R371" s="248">
        <f>IFERROR(VLOOKUP(C371,TD!$B$33:$F$37,4,0)," ")</f>
        <v>20240207</v>
      </c>
      <c r="S371" s="51" t="s">
        <v>179</v>
      </c>
      <c r="T371" s="248" t="str">
        <f>IFERROR(VLOOKUP(S371,TD!$J$34:$K$44,2,0)," ")</f>
        <v>Infraestructura Tecnológica   (Sistemas de Información y Tecnologia)</v>
      </c>
      <c r="U371" s="249" t="str">
        <f>CONCATENATE(S371,"-",T371)</f>
        <v>11-Infraestructura Tecnológica   (Sistemas de Información y Tecnologia)</v>
      </c>
      <c r="V371" s="51" t="s">
        <v>239</v>
      </c>
      <c r="W371" s="248" t="str">
        <f>IFERROR(VLOOKUP(V371,TD!$N$34:$O$46,2,0)," ")</f>
        <v>Servicios tecnológicos</v>
      </c>
      <c r="X371" s="249" t="str">
        <f>CONCATENATE(V371,"_",W371)</f>
        <v>007_Servicios tecnológicos</v>
      </c>
      <c r="Y371" s="249" t="str">
        <f>CONCATENATE(U371," ",X371)</f>
        <v>11-Infraestructura Tecnológica   (Sistemas de Información y Tecnologia) 007_Servicios tecnológicos</v>
      </c>
      <c r="Z371" s="248" t="str">
        <f>CONCATENATE(P371,Q371,R371,S371,V371)</f>
        <v>O23011745992024020711007</v>
      </c>
      <c r="AA371" s="248" t="str">
        <f>IFERROR(VLOOKUP(Y371,TD!$K$47:$L$65,2,0)," ")</f>
        <v>PM/0131/0111/45990070207</v>
      </c>
      <c r="AB371" s="53" t="s">
        <v>125</v>
      </c>
      <c r="AC371" s="250" t="s">
        <v>204</v>
      </c>
    </row>
    <row r="372" spans="2:29" s="28" customFormat="1" ht="56" x14ac:dyDescent="0.35">
      <c r="B372" s="127">
        <v>20250397</v>
      </c>
      <c r="C372" s="129" t="s">
        <v>208</v>
      </c>
      <c r="D372" s="251" t="s">
        <v>162</v>
      </c>
      <c r="E372" s="252" t="s">
        <v>355</v>
      </c>
      <c r="F372" s="251" t="s">
        <v>1291</v>
      </c>
      <c r="G372" s="251" t="s">
        <v>149</v>
      </c>
      <c r="H372" s="130" t="s">
        <v>1357</v>
      </c>
      <c r="I372" s="253">
        <v>10</v>
      </c>
      <c r="J372" s="253">
        <v>12</v>
      </c>
      <c r="K372" s="126">
        <v>0</v>
      </c>
      <c r="L372" s="125">
        <v>165519648</v>
      </c>
      <c r="M372" s="251" t="s">
        <v>464</v>
      </c>
      <c r="N372" s="125" t="s">
        <v>113</v>
      </c>
      <c r="O372" s="252" t="s">
        <v>214</v>
      </c>
      <c r="P372" s="254" t="str">
        <f>IFERROR(VLOOKUP(C372,TD!$B$33:$F$37,2,0)," ")</f>
        <v>O230117</v>
      </c>
      <c r="Q372" s="254" t="str">
        <f>IFERROR(VLOOKUP(C372,TD!$B$33:$F$37,3,0)," ")</f>
        <v>4599</v>
      </c>
      <c r="R372" s="254">
        <f>IFERROR(VLOOKUP(C372,TD!$B$33:$F$37,4,0)," ")</f>
        <v>20240207</v>
      </c>
      <c r="S372" s="252" t="s">
        <v>179</v>
      </c>
      <c r="T372" s="254" t="str">
        <f>IFERROR(VLOOKUP(S372,TD!$J$34:$K$44,2,0)," ")</f>
        <v>Infraestructura Tecnológica   (Sistemas de Información y Tecnologia)</v>
      </c>
      <c r="U372" s="249" t="str">
        <f>CONCATENATE(S372,"-",T372)</f>
        <v>11-Infraestructura Tecnológica   (Sistemas de Información y Tecnologia)</v>
      </c>
      <c r="V372" s="252" t="s">
        <v>239</v>
      </c>
      <c r="W372" s="254" t="str">
        <f>IFERROR(VLOOKUP(V372,TD!$N$34:$O$46,2,0)," ")</f>
        <v>Servicios tecnológicos</v>
      </c>
      <c r="X372" s="249" t="str">
        <f>CONCATENATE(V372,"_",W372)</f>
        <v>007_Servicios tecnológicos</v>
      </c>
      <c r="Y372" s="249" t="str">
        <f>CONCATENATE(U372," ",X372)</f>
        <v>11-Infraestructura Tecnológica   (Sistemas de Información y Tecnologia) 007_Servicios tecnológicos</v>
      </c>
      <c r="Z372" s="254" t="str">
        <f>CONCATENATE(P372,Q372,R372,S372,V372)</f>
        <v>O23011745992024020711007</v>
      </c>
      <c r="AA372" s="254" t="str">
        <f>IFERROR(VLOOKUP(Y372,TD!$K$47:$L$65,2,0)," ")</f>
        <v>PM/0131/0111/45990070207</v>
      </c>
      <c r="AB372" s="125" t="s">
        <v>125</v>
      </c>
      <c r="AC372" s="255" t="s">
        <v>205</v>
      </c>
    </row>
    <row r="373" spans="2:29" s="28" customFormat="1" ht="56" x14ac:dyDescent="0.35">
      <c r="B373" s="127">
        <v>20250398</v>
      </c>
      <c r="C373" s="129" t="s">
        <v>208</v>
      </c>
      <c r="D373" s="251" t="s">
        <v>162</v>
      </c>
      <c r="E373" s="252" t="s">
        <v>355</v>
      </c>
      <c r="F373" s="251" t="s">
        <v>556</v>
      </c>
      <c r="G373" s="251" t="s">
        <v>149</v>
      </c>
      <c r="H373" s="130">
        <v>81112217</v>
      </c>
      <c r="I373" s="253">
        <v>1</v>
      </c>
      <c r="J373" s="253">
        <v>12</v>
      </c>
      <c r="K373" s="126">
        <v>0</v>
      </c>
      <c r="L373" s="125">
        <v>16142952</v>
      </c>
      <c r="M373" s="251" t="s">
        <v>464</v>
      </c>
      <c r="N373" s="125" t="s">
        <v>113</v>
      </c>
      <c r="O373" s="252" t="s">
        <v>214</v>
      </c>
      <c r="P373" s="254" t="str">
        <f>IFERROR(VLOOKUP(C373,TD!$B$33:$F$37,2,0)," ")</f>
        <v>O230117</v>
      </c>
      <c r="Q373" s="254" t="str">
        <f>IFERROR(VLOOKUP(C373,TD!$B$33:$F$37,3,0)," ")</f>
        <v>4599</v>
      </c>
      <c r="R373" s="254">
        <f>IFERROR(VLOOKUP(C373,TD!$B$33:$F$37,4,0)," ")</f>
        <v>20240207</v>
      </c>
      <c r="S373" s="252" t="s">
        <v>179</v>
      </c>
      <c r="T373" s="254" t="str">
        <f>IFERROR(VLOOKUP(S373,TD!$J$34:$K$44,2,0)," ")</f>
        <v>Infraestructura Tecnológica   (Sistemas de Información y Tecnologia)</v>
      </c>
      <c r="U373" s="249" t="str">
        <f>CONCATENATE(S373,"-",T373)</f>
        <v>11-Infraestructura Tecnológica   (Sistemas de Información y Tecnologia)</v>
      </c>
      <c r="V373" s="252" t="s">
        <v>239</v>
      </c>
      <c r="W373" s="254" t="str">
        <f>IFERROR(VLOOKUP(V373,TD!$N$34:$O$46,2,0)," ")</f>
        <v>Servicios tecnológicos</v>
      </c>
      <c r="X373" s="249" t="str">
        <f>CONCATENATE(V373,"_",W373)</f>
        <v>007_Servicios tecnológicos</v>
      </c>
      <c r="Y373" s="249" t="str">
        <f>CONCATENATE(U373," ",X373)</f>
        <v>11-Infraestructura Tecnológica   (Sistemas de Información y Tecnologia) 007_Servicios tecnológicos</v>
      </c>
      <c r="Z373" s="254" t="str">
        <f>CONCATENATE(P373,Q373,R373,S373,V373)</f>
        <v>O23011745992024020711007</v>
      </c>
      <c r="AA373" s="254" t="str">
        <f>IFERROR(VLOOKUP(Y373,TD!$K$47:$L$65,2,0)," ")</f>
        <v>PM/0131/0111/45990070207</v>
      </c>
      <c r="AB373" s="125" t="s">
        <v>125</v>
      </c>
      <c r="AC373" s="255" t="s">
        <v>204</v>
      </c>
    </row>
    <row r="374" spans="2:29" s="28" customFormat="1" ht="56" x14ac:dyDescent="0.35">
      <c r="B374" s="127">
        <v>20250399</v>
      </c>
      <c r="C374" s="129" t="s">
        <v>208</v>
      </c>
      <c r="D374" s="251" t="s">
        <v>162</v>
      </c>
      <c r="E374" s="252" t="s">
        <v>355</v>
      </c>
      <c r="F374" s="251" t="s">
        <v>794</v>
      </c>
      <c r="G374" s="251" t="s">
        <v>96</v>
      </c>
      <c r="H374" s="130" t="s">
        <v>415</v>
      </c>
      <c r="I374" s="253">
        <v>3</v>
      </c>
      <c r="J374" s="253">
        <v>12</v>
      </c>
      <c r="K374" s="126">
        <v>0</v>
      </c>
      <c r="L374" s="125">
        <v>30000000</v>
      </c>
      <c r="M374" s="251" t="s">
        <v>464</v>
      </c>
      <c r="N374" s="125" t="s">
        <v>100</v>
      </c>
      <c r="O374" s="252" t="s">
        <v>215</v>
      </c>
      <c r="P374" s="254" t="str">
        <f>IFERROR(VLOOKUP(C374,TD!$B$33:$F$37,2,0)," ")</f>
        <v>O230117</v>
      </c>
      <c r="Q374" s="254" t="str">
        <f>IFERROR(VLOOKUP(C374,TD!$B$33:$F$37,3,0)," ")</f>
        <v>4599</v>
      </c>
      <c r="R374" s="254">
        <f>IFERROR(VLOOKUP(C374,TD!$B$33:$F$37,4,0)," ")</f>
        <v>20240207</v>
      </c>
      <c r="S374" s="252" t="s">
        <v>179</v>
      </c>
      <c r="T374" s="254" t="str">
        <f>IFERROR(VLOOKUP(S374,TD!$J$34:$K$44,2,0)," ")</f>
        <v>Infraestructura Tecnológica   (Sistemas de Información y Tecnologia)</v>
      </c>
      <c r="U374" s="249" t="str">
        <f>CONCATENATE(S374,"-",T374)</f>
        <v>11-Infraestructura Tecnológica   (Sistemas de Información y Tecnologia)</v>
      </c>
      <c r="V374" s="252" t="s">
        <v>239</v>
      </c>
      <c r="W374" s="254" t="str">
        <f>IFERROR(VLOOKUP(V374,TD!$N$34:$O$46,2,0)," ")</f>
        <v>Servicios tecnológicos</v>
      </c>
      <c r="X374" s="249" t="str">
        <f>CONCATENATE(V374,"_",W374)</f>
        <v>007_Servicios tecnológicos</v>
      </c>
      <c r="Y374" s="249" t="str">
        <f>CONCATENATE(U374," ",X374)</f>
        <v>11-Infraestructura Tecnológica   (Sistemas de Información y Tecnologia) 007_Servicios tecnológicos</v>
      </c>
      <c r="Z374" s="254" t="str">
        <f>CONCATENATE(P374,Q374,R374,S374,V374)</f>
        <v>O23011745992024020711007</v>
      </c>
      <c r="AA374" s="254" t="str">
        <f>IFERROR(VLOOKUP(Y374,TD!$K$47:$L$65,2,0)," ")</f>
        <v>PM/0131/0111/45990070207</v>
      </c>
      <c r="AB374" s="125" t="s">
        <v>125</v>
      </c>
      <c r="AC374" s="255" t="s">
        <v>204</v>
      </c>
    </row>
    <row r="375" spans="2:29" s="28" customFormat="1" ht="56" x14ac:dyDescent="0.35">
      <c r="B375" s="127">
        <v>20250401</v>
      </c>
      <c r="C375" s="129" t="s">
        <v>208</v>
      </c>
      <c r="D375" s="251" t="s">
        <v>162</v>
      </c>
      <c r="E375" s="252" t="s">
        <v>355</v>
      </c>
      <c r="F375" s="251" t="s">
        <v>795</v>
      </c>
      <c r="G375" s="251" t="s">
        <v>109</v>
      </c>
      <c r="H375" s="130" t="s">
        <v>557</v>
      </c>
      <c r="I375" s="253">
        <v>3</v>
      </c>
      <c r="J375" s="253">
        <v>9</v>
      </c>
      <c r="K375" s="126">
        <v>0</v>
      </c>
      <c r="L375" s="125">
        <v>9999570</v>
      </c>
      <c r="M375" s="251" t="s">
        <v>464</v>
      </c>
      <c r="N375" s="125" t="s">
        <v>123</v>
      </c>
      <c r="O375" s="252" t="s">
        <v>215</v>
      </c>
      <c r="P375" s="254" t="str">
        <f>IFERROR(VLOOKUP(C375,TD!$B$33:$F$37,2,0)," ")</f>
        <v>O230117</v>
      </c>
      <c r="Q375" s="254" t="str">
        <f>IFERROR(VLOOKUP(C375,TD!$B$33:$F$37,3,0)," ")</f>
        <v>4599</v>
      </c>
      <c r="R375" s="254">
        <f>IFERROR(VLOOKUP(C375,TD!$B$33:$F$37,4,0)," ")</f>
        <v>20240207</v>
      </c>
      <c r="S375" s="252" t="s">
        <v>179</v>
      </c>
      <c r="T375" s="254" t="str">
        <f>IFERROR(VLOOKUP(S375,TD!$J$34:$K$44,2,0)," ")</f>
        <v>Infraestructura Tecnológica   (Sistemas de Información y Tecnologia)</v>
      </c>
      <c r="U375" s="249" t="str">
        <f>CONCATENATE(S375,"-",T375)</f>
        <v>11-Infraestructura Tecnológica   (Sistemas de Información y Tecnologia)</v>
      </c>
      <c r="V375" s="252" t="s">
        <v>239</v>
      </c>
      <c r="W375" s="254" t="str">
        <f>IFERROR(VLOOKUP(V375,TD!$N$34:$O$46,2,0)," ")</f>
        <v>Servicios tecnológicos</v>
      </c>
      <c r="X375" s="249" t="str">
        <f>CONCATENATE(V375,"_",W375)</f>
        <v>007_Servicios tecnológicos</v>
      </c>
      <c r="Y375" s="249" t="str">
        <f>CONCATENATE(U375," ",X375)</f>
        <v>11-Infraestructura Tecnológica   (Sistemas de Información y Tecnologia) 007_Servicios tecnológicos</v>
      </c>
      <c r="Z375" s="254" t="str">
        <f>CONCATENATE(P375,Q375,R375,S375,V375)</f>
        <v>O23011745992024020711007</v>
      </c>
      <c r="AA375" s="254" t="str">
        <f>IFERROR(VLOOKUP(Y375,TD!$K$47:$L$65,2,0)," ")</f>
        <v>PM/0131/0111/45990070207</v>
      </c>
      <c r="AB375" s="125" t="s">
        <v>125</v>
      </c>
      <c r="AC375" s="255" t="s">
        <v>204</v>
      </c>
    </row>
    <row r="376" spans="2:29" s="28" customFormat="1" ht="56" x14ac:dyDescent="0.35">
      <c r="B376" s="77">
        <v>20250402</v>
      </c>
      <c r="C376" s="50" t="s">
        <v>208</v>
      </c>
      <c r="D376" s="246" t="s">
        <v>162</v>
      </c>
      <c r="E376" s="51" t="s">
        <v>355</v>
      </c>
      <c r="F376" s="246" t="s">
        <v>796</v>
      </c>
      <c r="G376" s="246" t="s">
        <v>96</v>
      </c>
      <c r="H376" s="93" t="s">
        <v>415</v>
      </c>
      <c r="I376" s="247">
        <v>3</v>
      </c>
      <c r="J376" s="247">
        <v>9</v>
      </c>
      <c r="K376" s="52">
        <v>0</v>
      </c>
      <c r="L376" s="53">
        <v>34554076</v>
      </c>
      <c r="M376" s="246" t="s">
        <v>464</v>
      </c>
      <c r="N376" s="53" t="s">
        <v>123</v>
      </c>
      <c r="O376" s="51" t="s">
        <v>215</v>
      </c>
      <c r="P376" s="248" t="str">
        <f>IFERROR(VLOOKUP(C376,TD!$B$33:$F$37,2,0)," ")</f>
        <v>O230117</v>
      </c>
      <c r="Q376" s="248" t="str">
        <f>IFERROR(VLOOKUP(C376,TD!$B$33:$F$37,3,0)," ")</f>
        <v>4599</v>
      </c>
      <c r="R376" s="248">
        <f>IFERROR(VLOOKUP(C376,TD!$B$33:$F$37,4,0)," ")</f>
        <v>20240207</v>
      </c>
      <c r="S376" s="51" t="s">
        <v>179</v>
      </c>
      <c r="T376" s="248" t="str">
        <f>IFERROR(VLOOKUP(S376,TD!$J$34:$K$44,2,0)," ")</f>
        <v>Infraestructura Tecnológica   (Sistemas de Información y Tecnologia)</v>
      </c>
      <c r="U376" s="249" t="str">
        <f>CONCATENATE(S376,"-",T376)</f>
        <v>11-Infraestructura Tecnológica   (Sistemas de Información y Tecnologia)</v>
      </c>
      <c r="V376" s="51" t="s">
        <v>239</v>
      </c>
      <c r="W376" s="248" t="str">
        <f>IFERROR(VLOOKUP(V376,TD!$N$34:$O$46,2,0)," ")</f>
        <v>Servicios tecnológicos</v>
      </c>
      <c r="X376" s="249" t="str">
        <f>CONCATENATE(V376,"_",W376)</f>
        <v>007_Servicios tecnológicos</v>
      </c>
      <c r="Y376" s="249" t="str">
        <f>CONCATENATE(U376," ",X376)</f>
        <v>11-Infraestructura Tecnológica   (Sistemas de Información y Tecnologia) 007_Servicios tecnológicos</v>
      </c>
      <c r="Z376" s="248" t="str">
        <f>CONCATENATE(P376,Q376,R376,S376,V376)</f>
        <v>O23011745992024020711007</v>
      </c>
      <c r="AA376" s="248" t="str">
        <f>IFERROR(VLOOKUP(Y376,TD!$K$47:$L$65,2,0)," ")</f>
        <v>PM/0131/0111/45990070207</v>
      </c>
      <c r="AB376" s="53" t="s">
        <v>130</v>
      </c>
      <c r="AC376" s="250" t="s">
        <v>204</v>
      </c>
    </row>
    <row r="377" spans="2:29" s="28" customFormat="1" ht="56" x14ac:dyDescent="0.35">
      <c r="B377" s="127">
        <v>20250410</v>
      </c>
      <c r="C377" s="129" t="s">
        <v>209</v>
      </c>
      <c r="D377" s="251" t="s">
        <v>166</v>
      </c>
      <c r="E377" s="252" t="s">
        <v>558</v>
      </c>
      <c r="F377" s="251" t="s">
        <v>1031</v>
      </c>
      <c r="G377" s="251" t="s">
        <v>137</v>
      </c>
      <c r="H377" s="130" t="s">
        <v>406</v>
      </c>
      <c r="I377" s="253" t="s">
        <v>406</v>
      </c>
      <c r="J377" s="253" t="s">
        <v>406</v>
      </c>
      <c r="K377" s="126" t="s">
        <v>406</v>
      </c>
      <c r="L377" s="125">
        <v>35468656</v>
      </c>
      <c r="M377" s="251" t="s">
        <v>173</v>
      </c>
      <c r="N377" s="125" t="s">
        <v>604</v>
      </c>
      <c r="O377" s="252" t="s">
        <v>227</v>
      </c>
      <c r="P377" s="254" t="str">
        <f>IFERROR(VLOOKUP(C377,TD!$B$33:$F$37,2,0)," ")</f>
        <v>O230117</v>
      </c>
      <c r="Q377" s="254" t="str">
        <f>IFERROR(VLOOKUP(C377,TD!$B$33:$F$37,3,0)," ")</f>
        <v>4503</v>
      </c>
      <c r="R377" s="254">
        <f>IFERROR(VLOOKUP(C377,TD!$B$33:$F$37,4,0)," ")</f>
        <v>20240255</v>
      </c>
      <c r="S377" s="252" t="s">
        <v>185</v>
      </c>
      <c r="T377" s="254" t="str">
        <f>IFERROR(VLOOKUP(S377,TD!$J$34:$K$44,2,0)," ")</f>
        <v>Infraestructura física, mantenimiento y dotación (Sedes construidas, mantenidas reforzadas)</v>
      </c>
      <c r="U377" s="249" t="str">
        <f>CONCATENATE(S377,"-",T377)</f>
        <v>08-Infraestructura física, mantenimiento y dotación (Sedes construidas, mantenidas reforzadas)</v>
      </c>
      <c r="V377" s="252" t="s">
        <v>236</v>
      </c>
      <c r="W377" s="254" t="str">
        <f>IFERROR(VLOOKUP(V377,TD!$N$34:$O$46,2,0)," ")</f>
        <v>Estaciones de bomberos adecuadas</v>
      </c>
      <c r="X377" s="249" t="str">
        <f>CONCATENATE(V377,"_",W377)</f>
        <v>014_Estaciones de bomberos adecuadas</v>
      </c>
      <c r="Y377" s="249" t="str">
        <f>CONCATENATE(U377," ",X377)</f>
        <v>08-Infraestructura física, mantenimiento y dotación (Sedes construidas, mantenidas reforzadas) 014_Estaciones de bomberos adecuadas</v>
      </c>
      <c r="Z377" s="254" t="str">
        <f>CONCATENATE(P377,Q377,R377,S377,V377)</f>
        <v>O23011745032024025508014</v>
      </c>
      <c r="AA377" s="254" t="str">
        <f>IFERROR(VLOOKUP(Y377,TD!$K$47:$L$65,2,0)," ")</f>
        <v>PM/0131/0108/45030140255</v>
      </c>
      <c r="AB377" s="125" t="s">
        <v>102</v>
      </c>
      <c r="AC377" s="255" t="s">
        <v>205</v>
      </c>
    </row>
    <row r="378" spans="2:29" s="28" customFormat="1" ht="56" x14ac:dyDescent="0.35">
      <c r="B378" s="77">
        <v>20250411</v>
      </c>
      <c r="C378" s="50" t="s">
        <v>208</v>
      </c>
      <c r="D378" s="246" t="s">
        <v>166</v>
      </c>
      <c r="E378" s="51" t="s">
        <v>558</v>
      </c>
      <c r="F378" s="246" t="s">
        <v>559</v>
      </c>
      <c r="G378" s="246" t="s">
        <v>86</v>
      </c>
      <c r="H378" s="93" t="s">
        <v>560</v>
      </c>
      <c r="I378" s="247">
        <v>2</v>
      </c>
      <c r="J378" s="247">
        <v>11</v>
      </c>
      <c r="K378" s="52">
        <v>0</v>
      </c>
      <c r="L378" s="53">
        <v>16805758</v>
      </c>
      <c r="M378" s="246" t="s">
        <v>464</v>
      </c>
      <c r="N378" s="53" t="s">
        <v>605</v>
      </c>
      <c r="O378" s="51" t="s">
        <v>218</v>
      </c>
      <c r="P378" s="248" t="str">
        <f>IFERROR(VLOOKUP(C378,TD!$B$33:$F$37,2,0)," ")</f>
        <v>O230117</v>
      </c>
      <c r="Q378" s="248" t="str">
        <f>IFERROR(VLOOKUP(C378,TD!$B$33:$F$37,3,0)," ")</f>
        <v>4599</v>
      </c>
      <c r="R378" s="248">
        <f>IFERROR(VLOOKUP(C378,TD!$B$33:$F$37,4,0)," ")</f>
        <v>20240207</v>
      </c>
      <c r="S378" s="51" t="s">
        <v>185</v>
      </c>
      <c r="T378" s="248" t="str">
        <f>IFERROR(VLOOKUP(S378,TD!$J$34:$K$44,2,0)," ")</f>
        <v>Infraestructura física, mantenimiento y dotación (Sedes construidas, mantenidas reforzadas)</v>
      </c>
      <c r="U378" s="249" t="str">
        <f>CONCATENATE(S378,"-",T378)</f>
        <v>08-Infraestructura física, mantenimiento y dotación (Sedes construidas, mantenidas reforzadas)</v>
      </c>
      <c r="V378" s="51" t="s">
        <v>238</v>
      </c>
      <c r="W378" s="248" t="str">
        <f>IFERROR(VLOOKUP(V378,TD!$N$34:$O$46,2,0)," ")</f>
        <v>Sedes mantenidas</v>
      </c>
      <c r="X378" s="249" t="str">
        <f>CONCATENATE(V378,"_",W378)</f>
        <v>016_Sedes mantenidas</v>
      </c>
      <c r="Y378" s="249" t="str">
        <f>CONCATENATE(U378," ",X378)</f>
        <v>08-Infraestructura física, mantenimiento y dotación (Sedes construidas, mantenidas reforzadas) 016_Sedes mantenidas</v>
      </c>
      <c r="Z378" s="248" t="str">
        <f>CONCATENATE(P378,Q378,R378,S378,V378)</f>
        <v>O23011745992024020708016</v>
      </c>
      <c r="AA378" s="248" t="str">
        <f>IFERROR(VLOOKUP(Y378,TD!$K$47:$L$65,2,0)," ")</f>
        <v>PM/0131/0108/45990160207</v>
      </c>
      <c r="AB378" s="53" t="s">
        <v>143</v>
      </c>
      <c r="AC378" s="250" t="s">
        <v>204</v>
      </c>
    </row>
    <row r="379" spans="2:29" s="28" customFormat="1" ht="56" x14ac:dyDescent="0.35">
      <c r="B379" s="77">
        <v>20250412</v>
      </c>
      <c r="C379" s="50" t="s">
        <v>208</v>
      </c>
      <c r="D379" s="246" t="s">
        <v>166</v>
      </c>
      <c r="E379" s="51" t="s">
        <v>558</v>
      </c>
      <c r="F379" s="246" t="s">
        <v>561</v>
      </c>
      <c r="G379" s="246" t="s">
        <v>156</v>
      </c>
      <c r="H379" s="93" t="s">
        <v>606</v>
      </c>
      <c r="I379" s="247">
        <v>2</v>
      </c>
      <c r="J379" s="247">
        <v>11</v>
      </c>
      <c r="K379" s="52">
        <v>0</v>
      </c>
      <c r="L379" s="53">
        <f>33534424-3975472</f>
        <v>29558952</v>
      </c>
      <c r="M379" s="246" t="s">
        <v>464</v>
      </c>
      <c r="N379" s="53" t="s">
        <v>607</v>
      </c>
      <c r="O379" s="51" t="s">
        <v>219</v>
      </c>
      <c r="P379" s="248" t="str">
        <f>IFERROR(VLOOKUP(C379,TD!$B$33:$F$37,2,0)," ")</f>
        <v>O230117</v>
      </c>
      <c r="Q379" s="248" t="str">
        <f>IFERROR(VLOOKUP(C379,TD!$B$33:$F$37,3,0)," ")</f>
        <v>4599</v>
      </c>
      <c r="R379" s="248">
        <f>IFERROR(VLOOKUP(C379,TD!$B$33:$F$37,4,0)," ")</f>
        <v>20240207</v>
      </c>
      <c r="S379" s="51" t="s">
        <v>185</v>
      </c>
      <c r="T379" s="248" t="str">
        <f>IFERROR(VLOOKUP(S379,TD!$J$34:$K$44,2,0)," ")</f>
        <v>Infraestructura física, mantenimiento y dotación (Sedes construidas, mantenidas reforzadas)</v>
      </c>
      <c r="U379" s="249" t="str">
        <f>CONCATENATE(S379,"-",T379)</f>
        <v>08-Infraestructura física, mantenimiento y dotación (Sedes construidas, mantenidas reforzadas)</v>
      </c>
      <c r="V379" s="51" t="s">
        <v>238</v>
      </c>
      <c r="W379" s="248" t="str">
        <f>IFERROR(VLOOKUP(V379,TD!$N$34:$O$46,2,0)," ")</f>
        <v>Sedes mantenidas</v>
      </c>
      <c r="X379" s="249" t="str">
        <f>CONCATENATE(V379,"_",W379)</f>
        <v>016_Sedes mantenidas</v>
      </c>
      <c r="Y379" s="249" t="str">
        <f>CONCATENATE(U379," ",X379)</f>
        <v>08-Infraestructura física, mantenimiento y dotación (Sedes construidas, mantenidas reforzadas) 016_Sedes mantenidas</v>
      </c>
      <c r="Z379" s="248" t="str">
        <f>CONCATENATE(P379,Q379,R379,S379,V379)</f>
        <v>O23011745992024020708016</v>
      </c>
      <c r="AA379" s="248" t="str">
        <f>IFERROR(VLOOKUP(Y379,TD!$K$47:$L$65,2,0)," ")</f>
        <v>PM/0131/0108/45990160207</v>
      </c>
      <c r="AB379" s="53" t="s">
        <v>138</v>
      </c>
      <c r="AC379" s="250" t="s">
        <v>204</v>
      </c>
    </row>
    <row r="380" spans="2:29" s="28" customFormat="1" ht="56" x14ac:dyDescent="0.35">
      <c r="B380" s="127">
        <v>20250413</v>
      </c>
      <c r="C380" s="129" t="s">
        <v>208</v>
      </c>
      <c r="D380" s="251" t="s">
        <v>166</v>
      </c>
      <c r="E380" s="252" t="s">
        <v>558</v>
      </c>
      <c r="F380" s="251" t="s">
        <v>562</v>
      </c>
      <c r="G380" s="251" t="s">
        <v>155</v>
      </c>
      <c r="H380" s="130" t="s">
        <v>606</v>
      </c>
      <c r="I380" s="253">
        <v>2</v>
      </c>
      <c r="J380" s="253">
        <v>11</v>
      </c>
      <c r="K380" s="126">
        <v>0</v>
      </c>
      <c r="L380" s="125">
        <v>63809802</v>
      </c>
      <c r="M380" s="251" t="s">
        <v>464</v>
      </c>
      <c r="N380" s="125" t="s">
        <v>607</v>
      </c>
      <c r="O380" s="252" t="s">
        <v>219</v>
      </c>
      <c r="P380" s="254" t="str">
        <f>IFERROR(VLOOKUP(C380,TD!$B$33:$F$37,2,0)," ")</f>
        <v>O230117</v>
      </c>
      <c r="Q380" s="254" t="str">
        <f>IFERROR(VLOOKUP(C380,TD!$B$33:$F$37,3,0)," ")</f>
        <v>4599</v>
      </c>
      <c r="R380" s="254">
        <f>IFERROR(VLOOKUP(C380,TD!$B$33:$F$37,4,0)," ")</f>
        <v>20240207</v>
      </c>
      <c r="S380" s="252" t="s">
        <v>185</v>
      </c>
      <c r="T380" s="254" t="str">
        <f>IFERROR(VLOOKUP(S380,TD!$J$34:$K$44,2,0)," ")</f>
        <v>Infraestructura física, mantenimiento y dotación (Sedes construidas, mantenidas reforzadas)</v>
      </c>
      <c r="U380" s="249" t="str">
        <f>CONCATENATE(S380,"-",T380)</f>
        <v>08-Infraestructura física, mantenimiento y dotación (Sedes construidas, mantenidas reforzadas)</v>
      </c>
      <c r="V380" s="252" t="s">
        <v>238</v>
      </c>
      <c r="W380" s="254" t="str">
        <f>IFERROR(VLOOKUP(V380,TD!$N$34:$O$46,2,0)," ")</f>
        <v>Sedes mantenidas</v>
      </c>
      <c r="X380" s="249" t="str">
        <f>CONCATENATE(V380,"_",W380)</f>
        <v>016_Sedes mantenidas</v>
      </c>
      <c r="Y380" s="249" t="str">
        <f>CONCATENATE(U380," ",X380)</f>
        <v>08-Infraestructura física, mantenimiento y dotación (Sedes construidas, mantenidas reforzadas) 016_Sedes mantenidas</v>
      </c>
      <c r="Z380" s="254" t="str">
        <f>CONCATENATE(P380,Q380,R380,S380,V380)</f>
        <v>O23011745992024020708016</v>
      </c>
      <c r="AA380" s="254" t="str">
        <f>IFERROR(VLOOKUP(Y380,TD!$K$47:$L$65,2,0)," ")</f>
        <v>PM/0131/0108/45990160207</v>
      </c>
      <c r="AB380" s="125" t="s">
        <v>138</v>
      </c>
      <c r="AC380" s="255" t="s">
        <v>204</v>
      </c>
    </row>
    <row r="381" spans="2:29" s="28" customFormat="1" ht="56" x14ac:dyDescent="0.35">
      <c r="B381" s="77">
        <v>20250414</v>
      </c>
      <c r="C381" s="50" t="s">
        <v>208</v>
      </c>
      <c r="D381" s="246" t="s">
        <v>166</v>
      </c>
      <c r="E381" s="51" t="s">
        <v>558</v>
      </c>
      <c r="F381" s="246" t="s">
        <v>561</v>
      </c>
      <c r="G381" s="246" t="s">
        <v>156</v>
      </c>
      <c r="H381" s="93" t="s">
        <v>606</v>
      </c>
      <c r="I381" s="247">
        <v>2</v>
      </c>
      <c r="J381" s="247">
        <v>11</v>
      </c>
      <c r="K381" s="52">
        <v>0</v>
      </c>
      <c r="L381" s="53">
        <f>33534424-691144</f>
        <v>32843280</v>
      </c>
      <c r="M381" s="246" t="s">
        <v>464</v>
      </c>
      <c r="N381" s="53" t="s">
        <v>607</v>
      </c>
      <c r="O381" s="51" t="s">
        <v>219</v>
      </c>
      <c r="P381" s="248" t="str">
        <f>IFERROR(VLOOKUP(C381,TD!$B$33:$F$37,2,0)," ")</f>
        <v>O230117</v>
      </c>
      <c r="Q381" s="248" t="str">
        <f>IFERROR(VLOOKUP(C381,TD!$B$33:$F$37,3,0)," ")</f>
        <v>4599</v>
      </c>
      <c r="R381" s="248">
        <f>IFERROR(VLOOKUP(C381,TD!$B$33:$F$37,4,0)," ")</f>
        <v>20240207</v>
      </c>
      <c r="S381" s="51" t="s">
        <v>185</v>
      </c>
      <c r="T381" s="248" t="str">
        <f>IFERROR(VLOOKUP(S381,TD!$J$34:$K$44,2,0)," ")</f>
        <v>Infraestructura física, mantenimiento y dotación (Sedes construidas, mantenidas reforzadas)</v>
      </c>
      <c r="U381" s="249" t="str">
        <f>CONCATENATE(S381,"-",T381)</f>
        <v>08-Infraestructura física, mantenimiento y dotación (Sedes construidas, mantenidas reforzadas)</v>
      </c>
      <c r="V381" s="51" t="s">
        <v>238</v>
      </c>
      <c r="W381" s="248" t="str">
        <f>IFERROR(VLOOKUP(V381,TD!$N$34:$O$46,2,0)," ")</f>
        <v>Sedes mantenidas</v>
      </c>
      <c r="X381" s="249" t="str">
        <f>CONCATENATE(V381,"_",W381)</f>
        <v>016_Sedes mantenidas</v>
      </c>
      <c r="Y381" s="249" t="str">
        <f>CONCATENATE(U381," ",X381)</f>
        <v>08-Infraestructura física, mantenimiento y dotación (Sedes construidas, mantenidas reforzadas) 016_Sedes mantenidas</v>
      </c>
      <c r="Z381" s="248" t="str">
        <f>CONCATENATE(P381,Q381,R381,S381,V381)</f>
        <v>O23011745992024020708016</v>
      </c>
      <c r="AA381" s="248" t="str">
        <f>IFERROR(VLOOKUP(Y381,TD!$K$47:$L$65,2,0)," ")</f>
        <v>PM/0131/0108/45990160207</v>
      </c>
      <c r="AB381" s="53" t="s">
        <v>138</v>
      </c>
      <c r="AC381" s="250" t="s">
        <v>204</v>
      </c>
    </row>
    <row r="382" spans="2:29" s="28" customFormat="1" ht="56" x14ac:dyDescent="0.35">
      <c r="B382" s="77">
        <v>20250415</v>
      </c>
      <c r="C382" s="50" t="s">
        <v>208</v>
      </c>
      <c r="D382" s="246" t="s">
        <v>166</v>
      </c>
      <c r="E382" s="51" t="s">
        <v>558</v>
      </c>
      <c r="F382" s="246" t="s">
        <v>561</v>
      </c>
      <c r="G382" s="246" t="s">
        <v>156</v>
      </c>
      <c r="H382" s="93" t="s">
        <v>606</v>
      </c>
      <c r="I382" s="247">
        <v>2</v>
      </c>
      <c r="J382" s="247">
        <v>11</v>
      </c>
      <c r="K382" s="52">
        <v>0</v>
      </c>
      <c r="L382" s="53">
        <f>33534424-691144</f>
        <v>32843280</v>
      </c>
      <c r="M382" s="246" t="s">
        <v>464</v>
      </c>
      <c r="N382" s="53" t="s">
        <v>607</v>
      </c>
      <c r="O382" s="51" t="s">
        <v>219</v>
      </c>
      <c r="P382" s="248" t="str">
        <f>IFERROR(VLOOKUP(C382,TD!$B$33:$F$37,2,0)," ")</f>
        <v>O230117</v>
      </c>
      <c r="Q382" s="248" t="str">
        <f>IFERROR(VLOOKUP(C382,TD!$B$33:$F$37,3,0)," ")</f>
        <v>4599</v>
      </c>
      <c r="R382" s="248">
        <f>IFERROR(VLOOKUP(C382,TD!$B$33:$F$37,4,0)," ")</f>
        <v>20240207</v>
      </c>
      <c r="S382" s="51" t="s">
        <v>185</v>
      </c>
      <c r="T382" s="248" t="str">
        <f>IFERROR(VLOOKUP(S382,TD!$J$34:$K$44,2,0)," ")</f>
        <v>Infraestructura física, mantenimiento y dotación (Sedes construidas, mantenidas reforzadas)</v>
      </c>
      <c r="U382" s="249" t="str">
        <f>CONCATENATE(S382,"-",T382)</f>
        <v>08-Infraestructura física, mantenimiento y dotación (Sedes construidas, mantenidas reforzadas)</v>
      </c>
      <c r="V382" s="51" t="s">
        <v>238</v>
      </c>
      <c r="W382" s="248" t="str">
        <f>IFERROR(VLOOKUP(V382,TD!$N$34:$O$46,2,0)," ")</f>
        <v>Sedes mantenidas</v>
      </c>
      <c r="X382" s="249" t="str">
        <f>CONCATENATE(V382,"_",W382)</f>
        <v>016_Sedes mantenidas</v>
      </c>
      <c r="Y382" s="249" t="str">
        <f>CONCATENATE(U382," ",X382)</f>
        <v>08-Infraestructura física, mantenimiento y dotación (Sedes construidas, mantenidas reforzadas) 016_Sedes mantenidas</v>
      </c>
      <c r="Z382" s="248" t="str">
        <f>CONCATENATE(P382,Q382,R382,S382,V382)</f>
        <v>O23011745992024020708016</v>
      </c>
      <c r="AA382" s="248" t="str">
        <f>IFERROR(VLOOKUP(Y382,TD!$K$47:$L$65,2,0)," ")</f>
        <v>PM/0131/0108/45990160207</v>
      </c>
      <c r="AB382" s="53" t="s">
        <v>138</v>
      </c>
      <c r="AC382" s="250" t="s">
        <v>204</v>
      </c>
    </row>
    <row r="383" spans="2:29" s="28" customFormat="1" ht="56" x14ac:dyDescent="0.35">
      <c r="B383" s="77">
        <v>20250416</v>
      </c>
      <c r="C383" s="50" t="s">
        <v>208</v>
      </c>
      <c r="D383" s="246" t="s">
        <v>166</v>
      </c>
      <c r="E383" s="51" t="s">
        <v>558</v>
      </c>
      <c r="F383" s="246" t="s">
        <v>561</v>
      </c>
      <c r="G383" s="246" t="s">
        <v>156</v>
      </c>
      <c r="H383" s="93" t="s">
        <v>606</v>
      </c>
      <c r="I383" s="247">
        <v>2</v>
      </c>
      <c r="J383" s="247">
        <v>11</v>
      </c>
      <c r="K383" s="52">
        <v>0</v>
      </c>
      <c r="L383" s="53">
        <f>33534424-691144</f>
        <v>32843280</v>
      </c>
      <c r="M383" s="246" t="s">
        <v>464</v>
      </c>
      <c r="N383" s="53" t="s">
        <v>607</v>
      </c>
      <c r="O383" s="51" t="s">
        <v>219</v>
      </c>
      <c r="P383" s="248" t="str">
        <f>IFERROR(VLOOKUP(C383,TD!$B$33:$F$37,2,0)," ")</f>
        <v>O230117</v>
      </c>
      <c r="Q383" s="248" t="str">
        <f>IFERROR(VLOOKUP(C383,TD!$B$33:$F$37,3,0)," ")</f>
        <v>4599</v>
      </c>
      <c r="R383" s="248">
        <f>IFERROR(VLOOKUP(C383,TD!$B$33:$F$37,4,0)," ")</f>
        <v>20240207</v>
      </c>
      <c r="S383" s="51" t="s">
        <v>185</v>
      </c>
      <c r="T383" s="248" t="str">
        <f>IFERROR(VLOOKUP(S383,TD!$J$34:$K$44,2,0)," ")</f>
        <v>Infraestructura física, mantenimiento y dotación (Sedes construidas, mantenidas reforzadas)</v>
      </c>
      <c r="U383" s="249" t="str">
        <f>CONCATENATE(S383,"-",T383)</f>
        <v>08-Infraestructura física, mantenimiento y dotación (Sedes construidas, mantenidas reforzadas)</v>
      </c>
      <c r="V383" s="51" t="s">
        <v>238</v>
      </c>
      <c r="W383" s="248" t="str">
        <f>IFERROR(VLOOKUP(V383,TD!$N$34:$O$46,2,0)," ")</f>
        <v>Sedes mantenidas</v>
      </c>
      <c r="X383" s="249" t="str">
        <f>CONCATENATE(V383,"_",W383)</f>
        <v>016_Sedes mantenidas</v>
      </c>
      <c r="Y383" s="249" t="str">
        <f>CONCATENATE(U383," ",X383)</f>
        <v>08-Infraestructura física, mantenimiento y dotación (Sedes construidas, mantenidas reforzadas) 016_Sedes mantenidas</v>
      </c>
      <c r="Z383" s="248" t="str">
        <f>CONCATENATE(P383,Q383,R383,S383,V383)</f>
        <v>O23011745992024020708016</v>
      </c>
      <c r="AA383" s="248" t="str">
        <f>IFERROR(VLOOKUP(Y383,TD!$K$47:$L$65,2,0)," ")</f>
        <v>PM/0131/0108/45990160207</v>
      </c>
      <c r="AB383" s="53" t="s">
        <v>138</v>
      </c>
      <c r="AC383" s="250" t="s">
        <v>204</v>
      </c>
    </row>
    <row r="384" spans="2:29" s="28" customFormat="1" ht="56" x14ac:dyDescent="0.35">
      <c r="B384" s="77">
        <v>20250417</v>
      </c>
      <c r="C384" s="50" t="s">
        <v>208</v>
      </c>
      <c r="D384" s="246" t="s">
        <v>166</v>
      </c>
      <c r="E384" s="51" t="s">
        <v>558</v>
      </c>
      <c r="F384" s="246" t="s">
        <v>561</v>
      </c>
      <c r="G384" s="246" t="s">
        <v>156</v>
      </c>
      <c r="H384" s="93" t="s">
        <v>606</v>
      </c>
      <c r="I384" s="247">
        <v>2</v>
      </c>
      <c r="J384" s="247">
        <v>11</v>
      </c>
      <c r="K384" s="52">
        <v>0</v>
      </c>
      <c r="L384" s="53">
        <f>33534424-691144</f>
        <v>32843280</v>
      </c>
      <c r="M384" s="246" t="s">
        <v>464</v>
      </c>
      <c r="N384" s="53" t="s">
        <v>607</v>
      </c>
      <c r="O384" s="51" t="s">
        <v>219</v>
      </c>
      <c r="P384" s="248" t="str">
        <f>IFERROR(VLOOKUP(C384,TD!$B$33:$F$37,2,0)," ")</f>
        <v>O230117</v>
      </c>
      <c r="Q384" s="248" t="str">
        <f>IFERROR(VLOOKUP(C384,TD!$B$33:$F$37,3,0)," ")</f>
        <v>4599</v>
      </c>
      <c r="R384" s="248">
        <f>IFERROR(VLOOKUP(C384,TD!$B$33:$F$37,4,0)," ")</f>
        <v>20240207</v>
      </c>
      <c r="S384" s="51" t="s">
        <v>185</v>
      </c>
      <c r="T384" s="248" t="str">
        <f>IFERROR(VLOOKUP(S384,TD!$J$34:$K$44,2,0)," ")</f>
        <v>Infraestructura física, mantenimiento y dotación (Sedes construidas, mantenidas reforzadas)</v>
      </c>
      <c r="U384" s="249" t="str">
        <f>CONCATENATE(S384,"-",T384)</f>
        <v>08-Infraestructura física, mantenimiento y dotación (Sedes construidas, mantenidas reforzadas)</v>
      </c>
      <c r="V384" s="51" t="s">
        <v>238</v>
      </c>
      <c r="W384" s="248" t="str">
        <f>IFERROR(VLOOKUP(V384,TD!$N$34:$O$46,2,0)," ")</f>
        <v>Sedes mantenidas</v>
      </c>
      <c r="X384" s="249" t="str">
        <f>CONCATENATE(V384,"_",W384)</f>
        <v>016_Sedes mantenidas</v>
      </c>
      <c r="Y384" s="249" t="str">
        <f>CONCATENATE(U384," ",X384)</f>
        <v>08-Infraestructura física, mantenimiento y dotación (Sedes construidas, mantenidas reforzadas) 016_Sedes mantenidas</v>
      </c>
      <c r="Z384" s="248" t="str">
        <f>CONCATENATE(P384,Q384,R384,S384,V384)</f>
        <v>O23011745992024020708016</v>
      </c>
      <c r="AA384" s="248" t="str">
        <f>IFERROR(VLOOKUP(Y384,TD!$K$47:$L$65,2,0)," ")</f>
        <v>PM/0131/0108/45990160207</v>
      </c>
      <c r="AB384" s="53" t="s">
        <v>138</v>
      </c>
      <c r="AC384" s="250" t="s">
        <v>204</v>
      </c>
    </row>
    <row r="385" spans="2:29" s="28" customFormat="1" ht="56" x14ac:dyDescent="0.35">
      <c r="B385" s="77">
        <v>20250418</v>
      </c>
      <c r="C385" s="50" t="s">
        <v>208</v>
      </c>
      <c r="D385" s="246" t="s">
        <v>166</v>
      </c>
      <c r="E385" s="51" t="s">
        <v>558</v>
      </c>
      <c r="F385" s="246" t="s">
        <v>561</v>
      </c>
      <c r="G385" s="246" t="s">
        <v>156</v>
      </c>
      <c r="H385" s="93" t="s">
        <v>606</v>
      </c>
      <c r="I385" s="247">
        <v>2</v>
      </c>
      <c r="J385" s="247">
        <v>11</v>
      </c>
      <c r="K385" s="52">
        <v>0</v>
      </c>
      <c r="L385" s="53">
        <v>29558952</v>
      </c>
      <c r="M385" s="246" t="s">
        <v>464</v>
      </c>
      <c r="N385" s="53" t="s">
        <v>607</v>
      </c>
      <c r="O385" s="51" t="s">
        <v>219</v>
      </c>
      <c r="P385" s="248" t="str">
        <f>IFERROR(VLOOKUP(C385,TD!$B$33:$F$37,2,0)," ")</f>
        <v>O230117</v>
      </c>
      <c r="Q385" s="248" t="str">
        <f>IFERROR(VLOOKUP(C385,TD!$B$33:$F$37,3,0)," ")</f>
        <v>4599</v>
      </c>
      <c r="R385" s="248">
        <f>IFERROR(VLOOKUP(C385,TD!$B$33:$F$37,4,0)," ")</f>
        <v>20240207</v>
      </c>
      <c r="S385" s="51" t="s">
        <v>185</v>
      </c>
      <c r="T385" s="248" t="str">
        <f>IFERROR(VLOOKUP(S385,TD!$J$34:$K$44,2,0)," ")</f>
        <v>Infraestructura física, mantenimiento y dotación (Sedes construidas, mantenidas reforzadas)</v>
      </c>
      <c r="U385" s="249" t="str">
        <f>CONCATENATE(S385,"-",T385)</f>
        <v>08-Infraestructura física, mantenimiento y dotación (Sedes construidas, mantenidas reforzadas)</v>
      </c>
      <c r="V385" s="51" t="s">
        <v>238</v>
      </c>
      <c r="W385" s="248" t="str">
        <f>IFERROR(VLOOKUP(V385,TD!$N$34:$O$46,2,0)," ")</f>
        <v>Sedes mantenidas</v>
      </c>
      <c r="X385" s="249" t="str">
        <f>CONCATENATE(V385,"_",W385)</f>
        <v>016_Sedes mantenidas</v>
      </c>
      <c r="Y385" s="249" t="str">
        <f>CONCATENATE(U385," ",X385)</f>
        <v>08-Infraestructura física, mantenimiento y dotación (Sedes construidas, mantenidas reforzadas) 016_Sedes mantenidas</v>
      </c>
      <c r="Z385" s="248" t="str">
        <f>CONCATENATE(P385,Q385,R385,S385,V385)</f>
        <v>O23011745992024020708016</v>
      </c>
      <c r="AA385" s="248" t="str">
        <f>IFERROR(VLOOKUP(Y385,TD!$K$47:$L$65,2,0)," ")</f>
        <v>PM/0131/0108/45990160207</v>
      </c>
      <c r="AB385" s="53" t="s">
        <v>138</v>
      </c>
      <c r="AC385" s="250" t="s">
        <v>204</v>
      </c>
    </row>
    <row r="386" spans="2:29" s="28" customFormat="1" ht="56" x14ac:dyDescent="0.35">
      <c r="B386" s="77">
        <v>20250419</v>
      </c>
      <c r="C386" s="50" t="s">
        <v>208</v>
      </c>
      <c r="D386" s="246" t="s">
        <v>166</v>
      </c>
      <c r="E386" s="51" t="s">
        <v>558</v>
      </c>
      <c r="F386" s="246" t="s">
        <v>561</v>
      </c>
      <c r="G386" s="246" t="s">
        <v>156</v>
      </c>
      <c r="H386" s="93" t="s">
        <v>606</v>
      </c>
      <c r="I386" s="247">
        <v>2</v>
      </c>
      <c r="J386" s="247">
        <v>11</v>
      </c>
      <c r="K386" s="52">
        <v>0</v>
      </c>
      <c r="L386" s="53">
        <v>29558952</v>
      </c>
      <c r="M386" s="246" t="s">
        <v>464</v>
      </c>
      <c r="N386" s="53" t="s">
        <v>607</v>
      </c>
      <c r="O386" s="51" t="s">
        <v>219</v>
      </c>
      <c r="P386" s="248" t="str">
        <f>IFERROR(VLOOKUP(C386,TD!$B$33:$F$37,2,0)," ")</f>
        <v>O230117</v>
      </c>
      <c r="Q386" s="248" t="str">
        <f>IFERROR(VLOOKUP(C386,TD!$B$33:$F$37,3,0)," ")</f>
        <v>4599</v>
      </c>
      <c r="R386" s="248">
        <f>IFERROR(VLOOKUP(C386,TD!$B$33:$F$37,4,0)," ")</f>
        <v>20240207</v>
      </c>
      <c r="S386" s="51" t="s">
        <v>185</v>
      </c>
      <c r="T386" s="248" t="str">
        <f>IFERROR(VLOOKUP(S386,TD!$J$34:$K$44,2,0)," ")</f>
        <v>Infraestructura física, mantenimiento y dotación (Sedes construidas, mantenidas reforzadas)</v>
      </c>
      <c r="U386" s="249" t="str">
        <f>CONCATENATE(S386,"-",T386)</f>
        <v>08-Infraestructura física, mantenimiento y dotación (Sedes construidas, mantenidas reforzadas)</v>
      </c>
      <c r="V386" s="51" t="s">
        <v>238</v>
      </c>
      <c r="W386" s="248" t="str">
        <f>IFERROR(VLOOKUP(V386,TD!$N$34:$O$46,2,0)," ")</f>
        <v>Sedes mantenidas</v>
      </c>
      <c r="X386" s="249" t="str">
        <f>CONCATENATE(V386,"_",W386)</f>
        <v>016_Sedes mantenidas</v>
      </c>
      <c r="Y386" s="249" t="str">
        <f>CONCATENATE(U386," ",X386)</f>
        <v>08-Infraestructura física, mantenimiento y dotación (Sedes construidas, mantenidas reforzadas) 016_Sedes mantenidas</v>
      </c>
      <c r="Z386" s="248" t="str">
        <f>CONCATENATE(P386,Q386,R386,S386,V386)</f>
        <v>O23011745992024020708016</v>
      </c>
      <c r="AA386" s="248" t="str">
        <f>IFERROR(VLOOKUP(Y386,TD!$K$47:$L$65,2,0)," ")</f>
        <v>PM/0131/0108/45990160207</v>
      </c>
      <c r="AB386" s="53" t="s">
        <v>138</v>
      </c>
      <c r="AC386" s="250" t="s">
        <v>204</v>
      </c>
    </row>
    <row r="387" spans="2:29" s="28" customFormat="1" ht="56" x14ac:dyDescent="0.35">
      <c r="B387" s="127">
        <v>20250420</v>
      </c>
      <c r="C387" s="129" t="s">
        <v>208</v>
      </c>
      <c r="D387" s="251" t="s">
        <v>166</v>
      </c>
      <c r="E387" s="252" t="s">
        <v>558</v>
      </c>
      <c r="F387" s="251" t="s">
        <v>561</v>
      </c>
      <c r="G387" s="251" t="s">
        <v>156</v>
      </c>
      <c r="H387" s="130" t="s">
        <v>606</v>
      </c>
      <c r="I387" s="253">
        <v>2</v>
      </c>
      <c r="J387" s="253">
        <v>11</v>
      </c>
      <c r="K387" s="126">
        <v>0</v>
      </c>
      <c r="L387" s="125">
        <v>27000000</v>
      </c>
      <c r="M387" s="251" t="s">
        <v>464</v>
      </c>
      <c r="N387" s="125" t="s">
        <v>607</v>
      </c>
      <c r="O387" s="252" t="s">
        <v>219</v>
      </c>
      <c r="P387" s="254" t="str">
        <f>IFERROR(VLOOKUP(C387,TD!$B$33:$F$37,2,0)," ")</f>
        <v>O230117</v>
      </c>
      <c r="Q387" s="254" t="str">
        <f>IFERROR(VLOOKUP(C387,TD!$B$33:$F$37,3,0)," ")</f>
        <v>4599</v>
      </c>
      <c r="R387" s="254">
        <f>IFERROR(VLOOKUP(C387,TD!$B$33:$F$37,4,0)," ")</f>
        <v>20240207</v>
      </c>
      <c r="S387" s="252" t="s">
        <v>185</v>
      </c>
      <c r="T387" s="254" t="str">
        <f>IFERROR(VLOOKUP(S387,TD!$J$34:$K$44,2,0)," ")</f>
        <v>Infraestructura física, mantenimiento y dotación (Sedes construidas, mantenidas reforzadas)</v>
      </c>
      <c r="U387" s="249" t="str">
        <f>CONCATENATE(S387,"-",T387)</f>
        <v>08-Infraestructura física, mantenimiento y dotación (Sedes construidas, mantenidas reforzadas)</v>
      </c>
      <c r="V387" s="252" t="s">
        <v>238</v>
      </c>
      <c r="W387" s="254" t="str">
        <f>IFERROR(VLOOKUP(V387,TD!$N$34:$O$46,2,0)," ")</f>
        <v>Sedes mantenidas</v>
      </c>
      <c r="X387" s="249" t="str">
        <f>CONCATENATE(V387,"_",W387)</f>
        <v>016_Sedes mantenidas</v>
      </c>
      <c r="Y387" s="249" t="str">
        <f>CONCATENATE(U387," ",X387)</f>
        <v>08-Infraestructura física, mantenimiento y dotación (Sedes construidas, mantenidas reforzadas) 016_Sedes mantenidas</v>
      </c>
      <c r="Z387" s="254" t="str">
        <f>CONCATENATE(P387,Q387,R387,S387,V387)</f>
        <v>O23011745992024020708016</v>
      </c>
      <c r="AA387" s="254" t="str">
        <f>IFERROR(VLOOKUP(Y387,TD!$K$47:$L$65,2,0)," ")</f>
        <v>PM/0131/0108/45990160207</v>
      </c>
      <c r="AB387" s="125" t="s">
        <v>138</v>
      </c>
      <c r="AC387" s="255" t="s">
        <v>204</v>
      </c>
    </row>
    <row r="388" spans="2:29" s="28" customFormat="1" ht="56" x14ac:dyDescent="0.35">
      <c r="B388" s="77">
        <v>20250421</v>
      </c>
      <c r="C388" s="50" t="s">
        <v>208</v>
      </c>
      <c r="D388" s="246" t="s">
        <v>166</v>
      </c>
      <c r="E388" s="51" t="s">
        <v>558</v>
      </c>
      <c r="F388" s="246" t="s">
        <v>561</v>
      </c>
      <c r="G388" s="246" t="s">
        <v>156</v>
      </c>
      <c r="H388" s="93" t="s">
        <v>606</v>
      </c>
      <c r="I388" s="247">
        <v>2</v>
      </c>
      <c r="J388" s="247">
        <v>11</v>
      </c>
      <c r="K388" s="52">
        <v>0</v>
      </c>
      <c r="L388" s="53">
        <f>33534424-3975472</f>
        <v>29558952</v>
      </c>
      <c r="M388" s="246" t="s">
        <v>464</v>
      </c>
      <c r="N388" s="53" t="s">
        <v>607</v>
      </c>
      <c r="O388" s="51" t="s">
        <v>219</v>
      </c>
      <c r="P388" s="248" t="str">
        <f>IFERROR(VLOOKUP(C388,TD!$B$33:$F$37,2,0)," ")</f>
        <v>O230117</v>
      </c>
      <c r="Q388" s="248" t="str">
        <f>IFERROR(VLOOKUP(C388,TD!$B$33:$F$37,3,0)," ")</f>
        <v>4599</v>
      </c>
      <c r="R388" s="248">
        <f>IFERROR(VLOOKUP(C388,TD!$B$33:$F$37,4,0)," ")</f>
        <v>20240207</v>
      </c>
      <c r="S388" s="51" t="s">
        <v>185</v>
      </c>
      <c r="T388" s="248" t="str">
        <f>IFERROR(VLOOKUP(S388,TD!$J$34:$K$44,2,0)," ")</f>
        <v>Infraestructura física, mantenimiento y dotación (Sedes construidas, mantenidas reforzadas)</v>
      </c>
      <c r="U388" s="249" t="str">
        <f>CONCATENATE(S388,"-",T388)</f>
        <v>08-Infraestructura física, mantenimiento y dotación (Sedes construidas, mantenidas reforzadas)</v>
      </c>
      <c r="V388" s="51" t="s">
        <v>238</v>
      </c>
      <c r="W388" s="248" t="str">
        <f>IFERROR(VLOOKUP(V388,TD!$N$34:$O$46,2,0)," ")</f>
        <v>Sedes mantenidas</v>
      </c>
      <c r="X388" s="249" t="str">
        <f>CONCATENATE(V388,"_",W388)</f>
        <v>016_Sedes mantenidas</v>
      </c>
      <c r="Y388" s="249" t="str">
        <f>CONCATENATE(U388," ",X388)</f>
        <v>08-Infraestructura física, mantenimiento y dotación (Sedes construidas, mantenidas reforzadas) 016_Sedes mantenidas</v>
      </c>
      <c r="Z388" s="248" t="str">
        <f>CONCATENATE(P388,Q388,R388,S388,V388)</f>
        <v>O23011745992024020708016</v>
      </c>
      <c r="AA388" s="248" t="str">
        <f>IFERROR(VLOOKUP(Y388,TD!$K$47:$L$65,2,0)," ")</f>
        <v>PM/0131/0108/45990160207</v>
      </c>
      <c r="AB388" s="53" t="s">
        <v>138</v>
      </c>
      <c r="AC388" s="250" t="s">
        <v>204</v>
      </c>
    </row>
    <row r="389" spans="2:29" s="28" customFormat="1" ht="56" x14ac:dyDescent="0.35">
      <c r="B389" s="77">
        <v>20250422</v>
      </c>
      <c r="C389" s="50" t="s">
        <v>208</v>
      </c>
      <c r="D389" s="246" t="s">
        <v>166</v>
      </c>
      <c r="E389" s="51" t="s">
        <v>558</v>
      </c>
      <c r="F389" s="246" t="s">
        <v>561</v>
      </c>
      <c r="G389" s="246" t="s">
        <v>156</v>
      </c>
      <c r="H389" s="93" t="s">
        <v>606</v>
      </c>
      <c r="I389" s="247">
        <v>2</v>
      </c>
      <c r="J389" s="247">
        <v>11</v>
      </c>
      <c r="K389" s="52">
        <v>0</v>
      </c>
      <c r="L389" s="53">
        <f>33534424-3975472</f>
        <v>29558952</v>
      </c>
      <c r="M389" s="246" t="s">
        <v>464</v>
      </c>
      <c r="N389" s="53" t="s">
        <v>607</v>
      </c>
      <c r="O389" s="51" t="s">
        <v>219</v>
      </c>
      <c r="P389" s="248" t="str">
        <f>IFERROR(VLOOKUP(C389,TD!$B$33:$F$37,2,0)," ")</f>
        <v>O230117</v>
      </c>
      <c r="Q389" s="248" t="str">
        <f>IFERROR(VLOOKUP(C389,TD!$B$33:$F$37,3,0)," ")</f>
        <v>4599</v>
      </c>
      <c r="R389" s="248">
        <f>IFERROR(VLOOKUP(C389,TD!$B$33:$F$37,4,0)," ")</f>
        <v>20240207</v>
      </c>
      <c r="S389" s="51" t="s">
        <v>185</v>
      </c>
      <c r="T389" s="248" t="str">
        <f>IFERROR(VLOOKUP(S389,TD!$J$34:$K$44,2,0)," ")</f>
        <v>Infraestructura física, mantenimiento y dotación (Sedes construidas, mantenidas reforzadas)</v>
      </c>
      <c r="U389" s="249" t="str">
        <f>CONCATENATE(S389,"-",T389)</f>
        <v>08-Infraestructura física, mantenimiento y dotación (Sedes construidas, mantenidas reforzadas)</v>
      </c>
      <c r="V389" s="51" t="s">
        <v>238</v>
      </c>
      <c r="W389" s="248" t="str">
        <f>IFERROR(VLOOKUP(V389,TD!$N$34:$O$46,2,0)," ")</f>
        <v>Sedes mantenidas</v>
      </c>
      <c r="X389" s="249" t="str">
        <f>CONCATENATE(V389,"_",W389)</f>
        <v>016_Sedes mantenidas</v>
      </c>
      <c r="Y389" s="249" t="str">
        <f>CONCATENATE(U389," ",X389)</f>
        <v>08-Infraestructura física, mantenimiento y dotación (Sedes construidas, mantenidas reforzadas) 016_Sedes mantenidas</v>
      </c>
      <c r="Z389" s="248" t="str">
        <f>CONCATENATE(P389,Q389,R389,S389,V389)</f>
        <v>O23011745992024020708016</v>
      </c>
      <c r="AA389" s="248" t="str">
        <f>IFERROR(VLOOKUP(Y389,TD!$K$47:$L$65,2,0)," ")</f>
        <v>PM/0131/0108/45990160207</v>
      </c>
      <c r="AB389" s="53" t="s">
        <v>138</v>
      </c>
      <c r="AC389" s="250" t="s">
        <v>204</v>
      </c>
    </row>
    <row r="390" spans="2:29" s="28" customFormat="1" ht="56" x14ac:dyDescent="0.35">
      <c r="B390" s="77">
        <v>20250423</v>
      </c>
      <c r="C390" s="50" t="s">
        <v>208</v>
      </c>
      <c r="D390" s="246" t="s">
        <v>166</v>
      </c>
      <c r="E390" s="51" t="s">
        <v>558</v>
      </c>
      <c r="F390" s="246" t="s">
        <v>561</v>
      </c>
      <c r="G390" s="246" t="s">
        <v>156</v>
      </c>
      <c r="H390" s="93" t="s">
        <v>606</v>
      </c>
      <c r="I390" s="247">
        <v>2</v>
      </c>
      <c r="J390" s="247">
        <v>11</v>
      </c>
      <c r="K390" s="52">
        <v>0</v>
      </c>
      <c r="L390" s="53">
        <f>33534424-3975472</f>
        <v>29558952</v>
      </c>
      <c r="M390" s="246" t="s">
        <v>464</v>
      </c>
      <c r="N390" s="53" t="s">
        <v>607</v>
      </c>
      <c r="O390" s="51" t="s">
        <v>219</v>
      </c>
      <c r="P390" s="248" t="str">
        <f>IFERROR(VLOOKUP(C390,TD!$B$33:$F$37,2,0)," ")</f>
        <v>O230117</v>
      </c>
      <c r="Q390" s="248" t="str">
        <f>IFERROR(VLOOKUP(C390,TD!$B$33:$F$37,3,0)," ")</f>
        <v>4599</v>
      </c>
      <c r="R390" s="248">
        <f>IFERROR(VLOOKUP(C390,TD!$B$33:$F$37,4,0)," ")</f>
        <v>20240207</v>
      </c>
      <c r="S390" s="51" t="s">
        <v>185</v>
      </c>
      <c r="T390" s="248" t="str">
        <f>IFERROR(VLOOKUP(S390,TD!$J$34:$K$44,2,0)," ")</f>
        <v>Infraestructura física, mantenimiento y dotación (Sedes construidas, mantenidas reforzadas)</v>
      </c>
      <c r="U390" s="249" t="str">
        <f>CONCATENATE(S390,"-",T390)</f>
        <v>08-Infraestructura física, mantenimiento y dotación (Sedes construidas, mantenidas reforzadas)</v>
      </c>
      <c r="V390" s="51" t="s">
        <v>238</v>
      </c>
      <c r="W390" s="248" t="str">
        <f>IFERROR(VLOOKUP(V390,TD!$N$34:$O$46,2,0)," ")</f>
        <v>Sedes mantenidas</v>
      </c>
      <c r="X390" s="249" t="str">
        <f>CONCATENATE(V390,"_",W390)</f>
        <v>016_Sedes mantenidas</v>
      </c>
      <c r="Y390" s="249" t="str">
        <f>CONCATENATE(U390," ",X390)</f>
        <v>08-Infraestructura física, mantenimiento y dotación (Sedes construidas, mantenidas reforzadas) 016_Sedes mantenidas</v>
      </c>
      <c r="Z390" s="248" t="str">
        <f>CONCATENATE(P390,Q390,R390,S390,V390)</f>
        <v>O23011745992024020708016</v>
      </c>
      <c r="AA390" s="248" t="str">
        <f>IFERROR(VLOOKUP(Y390,TD!$K$47:$L$65,2,0)," ")</f>
        <v>PM/0131/0108/45990160207</v>
      </c>
      <c r="AB390" s="53" t="s">
        <v>138</v>
      </c>
      <c r="AC390" s="250" t="s">
        <v>204</v>
      </c>
    </row>
    <row r="391" spans="2:29" s="28" customFormat="1" ht="56" x14ac:dyDescent="0.35">
      <c r="B391" s="127">
        <v>20250424</v>
      </c>
      <c r="C391" s="129" t="s">
        <v>208</v>
      </c>
      <c r="D391" s="251" t="s">
        <v>166</v>
      </c>
      <c r="E391" s="252" t="s">
        <v>558</v>
      </c>
      <c r="F391" s="251" t="s">
        <v>563</v>
      </c>
      <c r="G391" s="251" t="s">
        <v>155</v>
      </c>
      <c r="H391" s="130" t="s">
        <v>606</v>
      </c>
      <c r="I391" s="253">
        <v>2</v>
      </c>
      <c r="J391" s="253">
        <v>11</v>
      </c>
      <c r="K391" s="126">
        <v>0</v>
      </c>
      <c r="L391" s="125">
        <v>64000000</v>
      </c>
      <c r="M391" s="251" t="s">
        <v>464</v>
      </c>
      <c r="N391" s="125" t="s">
        <v>607</v>
      </c>
      <c r="O391" s="252" t="s">
        <v>219</v>
      </c>
      <c r="P391" s="254" t="str">
        <f>IFERROR(VLOOKUP(C391,TD!$B$33:$F$37,2,0)," ")</f>
        <v>O230117</v>
      </c>
      <c r="Q391" s="254" t="str">
        <f>IFERROR(VLOOKUP(C391,TD!$B$33:$F$37,3,0)," ")</f>
        <v>4599</v>
      </c>
      <c r="R391" s="254">
        <f>IFERROR(VLOOKUP(C391,TD!$B$33:$F$37,4,0)," ")</f>
        <v>20240207</v>
      </c>
      <c r="S391" s="252" t="s">
        <v>185</v>
      </c>
      <c r="T391" s="254" t="str">
        <f>IFERROR(VLOOKUP(S391,TD!$J$34:$K$44,2,0)," ")</f>
        <v>Infraestructura física, mantenimiento y dotación (Sedes construidas, mantenidas reforzadas)</v>
      </c>
      <c r="U391" s="249" t="str">
        <f>CONCATENATE(S391,"-",T391)</f>
        <v>08-Infraestructura física, mantenimiento y dotación (Sedes construidas, mantenidas reforzadas)</v>
      </c>
      <c r="V391" s="252" t="s">
        <v>238</v>
      </c>
      <c r="W391" s="254" t="str">
        <f>IFERROR(VLOOKUP(V391,TD!$N$34:$O$46,2,0)," ")</f>
        <v>Sedes mantenidas</v>
      </c>
      <c r="X391" s="249" t="str">
        <f>CONCATENATE(V391,"_",W391)</f>
        <v>016_Sedes mantenidas</v>
      </c>
      <c r="Y391" s="249" t="str">
        <f>CONCATENATE(U391," ",X391)</f>
        <v>08-Infraestructura física, mantenimiento y dotación (Sedes construidas, mantenidas reforzadas) 016_Sedes mantenidas</v>
      </c>
      <c r="Z391" s="254" t="str">
        <f>CONCATENATE(P391,Q391,R391,S391,V391)</f>
        <v>O23011745992024020708016</v>
      </c>
      <c r="AA391" s="254" t="str">
        <f>IFERROR(VLOOKUP(Y391,TD!$K$47:$L$65,2,0)," ")</f>
        <v>PM/0131/0108/45990160207</v>
      </c>
      <c r="AB391" s="125" t="s">
        <v>138</v>
      </c>
      <c r="AC391" s="255" t="s">
        <v>204</v>
      </c>
    </row>
    <row r="392" spans="2:29" s="28" customFormat="1" ht="56" x14ac:dyDescent="0.35">
      <c r="B392" s="77">
        <v>20250425</v>
      </c>
      <c r="C392" s="50" t="s">
        <v>208</v>
      </c>
      <c r="D392" s="246" t="s">
        <v>166</v>
      </c>
      <c r="E392" s="51" t="s">
        <v>558</v>
      </c>
      <c r="F392" s="246" t="s">
        <v>564</v>
      </c>
      <c r="G392" s="246" t="s">
        <v>156</v>
      </c>
      <c r="H392" s="93" t="s">
        <v>606</v>
      </c>
      <c r="I392" s="247">
        <v>2</v>
      </c>
      <c r="J392" s="247">
        <v>11</v>
      </c>
      <c r="K392" s="52">
        <v>0</v>
      </c>
      <c r="L392" s="53">
        <f>33534424-3506279</f>
        <v>30028145</v>
      </c>
      <c r="M392" s="246" t="s">
        <v>464</v>
      </c>
      <c r="N392" s="53" t="s">
        <v>607</v>
      </c>
      <c r="O392" s="51" t="s">
        <v>219</v>
      </c>
      <c r="P392" s="248" t="str">
        <f>IFERROR(VLOOKUP(C392,TD!$B$33:$F$37,2,0)," ")</f>
        <v>O230117</v>
      </c>
      <c r="Q392" s="248" t="str">
        <f>IFERROR(VLOOKUP(C392,TD!$B$33:$F$37,3,0)," ")</f>
        <v>4599</v>
      </c>
      <c r="R392" s="248">
        <f>IFERROR(VLOOKUP(C392,TD!$B$33:$F$37,4,0)," ")</f>
        <v>20240207</v>
      </c>
      <c r="S392" s="51" t="s">
        <v>185</v>
      </c>
      <c r="T392" s="248" t="str">
        <f>IFERROR(VLOOKUP(S392,TD!$J$34:$K$44,2,0)," ")</f>
        <v>Infraestructura física, mantenimiento y dotación (Sedes construidas, mantenidas reforzadas)</v>
      </c>
      <c r="U392" s="249" t="str">
        <f>CONCATENATE(S392,"-",T392)</f>
        <v>08-Infraestructura física, mantenimiento y dotación (Sedes construidas, mantenidas reforzadas)</v>
      </c>
      <c r="V392" s="51" t="s">
        <v>238</v>
      </c>
      <c r="W392" s="248" t="str">
        <f>IFERROR(VLOOKUP(V392,TD!$N$34:$O$46,2,0)," ")</f>
        <v>Sedes mantenidas</v>
      </c>
      <c r="X392" s="249" t="str">
        <f>CONCATENATE(V392,"_",W392)</f>
        <v>016_Sedes mantenidas</v>
      </c>
      <c r="Y392" s="249" t="str">
        <f>CONCATENATE(U392," ",X392)</f>
        <v>08-Infraestructura física, mantenimiento y dotación (Sedes construidas, mantenidas reforzadas) 016_Sedes mantenidas</v>
      </c>
      <c r="Z392" s="248" t="str">
        <f>CONCATENATE(P392,Q392,R392,S392,V392)</f>
        <v>O23011745992024020708016</v>
      </c>
      <c r="AA392" s="248" t="str">
        <f>IFERROR(VLOOKUP(Y392,TD!$K$47:$L$65,2,0)," ")</f>
        <v>PM/0131/0108/45990160207</v>
      </c>
      <c r="AB392" s="53" t="s">
        <v>138</v>
      </c>
      <c r="AC392" s="250" t="s">
        <v>204</v>
      </c>
    </row>
    <row r="393" spans="2:29" s="28" customFormat="1" ht="56" x14ac:dyDescent="0.35">
      <c r="B393" s="77">
        <v>20250426</v>
      </c>
      <c r="C393" s="50" t="s">
        <v>208</v>
      </c>
      <c r="D393" s="246" t="s">
        <v>166</v>
      </c>
      <c r="E393" s="51" t="s">
        <v>558</v>
      </c>
      <c r="F393" s="246" t="s">
        <v>565</v>
      </c>
      <c r="G393" s="246" t="s">
        <v>155</v>
      </c>
      <c r="H393" s="93" t="s">
        <v>606</v>
      </c>
      <c r="I393" s="247">
        <v>2</v>
      </c>
      <c r="J393" s="247">
        <v>11</v>
      </c>
      <c r="K393" s="52">
        <v>0</v>
      </c>
      <c r="L393" s="53">
        <f>44000000-2711304</f>
        <v>41288696</v>
      </c>
      <c r="M393" s="246" t="s">
        <v>464</v>
      </c>
      <c r="N393" s="53" t="s">
        <v>607</v>
      </c>
      <c r="O393" s="51" t="s">
        <v>219</v>
      </c>
      <c r="P393" s="248" t="str">
        <f>IFERROR(VLOOKUP(C393,TD!$B$33:$F$37,2,0)," ")</f>
        <v>O230117</v>
      </c>
      <c r="Q393" s="248" t="str">
        <f>IFERROR(VLOOKUP(C393,TD!$B$33:$F$37,3,0)," ")</f>
        <v>4599</v>
      </c>
      <c r="R393" s="248">
        <f>IFERROR(VLOOKUP(C393,TD!$B$33:$F$37,4,0)," ")</f>
        <v>20240207</v>
      </c>
      <c r="S393" s="51" t="s">
        <v>185</v>
      </c>
      <c r="T393" s="248" t="str">
        <f>IFERROR(VLOOKUP(S393,TD!$J$34:$K$44,2,0)," ")</f>
        <v>Infraestructura física, mantenimiento y dotación (Sedes construidas, mantenidas reforzadas)</v>
      </c>
      <c r="U393" s="249" t="str">
        <f>CONCATENATE(S393,"-",T393)</f>
        <v>08-Infraestructura física, mantenimiento y dotación (Sedes construidas, mantenidas reforzadas)</v>
      </c>
      <c r="V393" s="51" t="s">
        <v>238</v>
      </c>
      <c r="W393" s="248" t="str">
        <f>IFERROR(VLOOKUP(V393,TD!$N$34:$O$46,2,0)," ")</f>
        <v>Sedes mantenidas</v>
      </c>
      <c r="X393" s="249" t="str">
        <f>CONCATENATE(V393,"_",W393)</f>
        <v>016_Sedes mantenidas</v>
      </c>
      <c r="Y393" s="249" t="str">
        <f>CONCATENATE(U393," ",X393)</f>
        <v>08-Infraestructura física, mantenimiento y dotación (Sedes construidas, mantenidas reforzadas) 016_Sedes mantenidas</v>
      </c>
      <c r="Z393" s="248" t="str">
        <f>CONCATENATE(P393,Q393,R393,S393,V393)</f>
        <v>O23011745992024020708016</v>
      </c>
      <c r="AA393" s="248" t="str">
        <f>IFERROR(VLOOKUP(Y393,TD!$K$47:$L$65,2,0)," ")</f>
        <v>PM/0131/0108/45990160207</v>
      </c>
      <c r="AB393" s="53" t="s">
        <v>138</v>
      </c>
      <c r="AC393" s="250" t="s">
        <v>204</v>
      </c>
    </row>
    <row r="394" spans="2:29" s="28" customFormat="1" ht="56" x14ac:dyDescent="0.35">
      <c r="B394" s="77">
        <v>20250427</v>
      </c>
      <c r="C394" s="50" t="s">
        <v>208</v>
      </c>
      <c r="D394" s="246" t="s">
        <v>166</v>
      </c>
      <c r="E394" s="51" t="s">
        <v>558</v>
      </c>
      <c r="F394" s="246" t="s">
        <v>566</v>
      </c>
      <c r="G394" s="246" t="s">
        <v>156</v>
      </c>
      <c r="H394" s="93" t="s">
        <v>606</v>
      </c>
      <c r="I394" s="247">
        <v>2</v>
      </c>
      <c r="J394" s="247">
        <v>11</v>
      </c>
      <c r="K394" s="52">
        <v>0</v>
      </c>
      <c r="L394" s="53">
        <f>33534424-3975472</f>
        <v>29558952</v>
      </c>
      <c r="M394" s="246" t="s">
        <v>464</v>
      </c>
      <c r="N394" s="53" t="s">
        <v>607</v>
      </c>
      <c r="O394" s="51" t="s">
        <v>219</v>
      </c>
      <c r="P394" s="248" t="str">
        <f>IFERROR(VLOOKUP(C394,TD!$B$33:$F$37,2,0)," ")</f>
        <v>O230117</v>
      </c>
      <c r="Q394" s="248" t="str">
        <f>IFERROR(VLOOKUP(C394,TD!$B$33:$F$37,3,0)," ")</f>
        <v>4599</v>
      </c>
      <c r="R394" s="248">
        <f>IFERROR(VLOOKUP(C394,TD!$B$33:$F$37,4,0)," ")</f>
        <v>20240207</v>
      </c>
      <c r="S394" s="51" t="s">
        <v>185</v>
      </c>
      <c r="T394" s="248" t="str">
        <f>IFERROR(VLOOKUP(S394,TD!$J$34:$K$44,2,0)," ")</f>
        <v>Infraestructura física, mantenimiento y dotación (Sedes construidas, mantenidas reforzadas)</v>
      </c>
      <c r="U394" s="249" t="str">
        <f>CONCATENATE(S394,"-",T394)</f>
        <v>08-Infraestructura física, mantenimiento y dotación (Sedes construidas, mantenidas reforzadas)</v>
      </c>
      <c r="V394" s="51" t="s">
        <v>238</v>
      </c>
      <c r="W394" s="248" t="str">
        <f>IFERROR(VLOOKUP(V394,TD!$N$34:$O$46,2,0)," ")</f>
        <v>Sedes mantenidas</v>
      </c>
      <c r="X394" s="249" t="str">
        <f>CONCATENATE(V394,"_",W394)</f>
        <v>016_Sedes mantenidas</v>
      </c>
      <c r="Y394" s="249" t="str">
        <f>CONCATENATE(U394," ",X394)</f>
        <v>08-Infraestructura física, mantenimiento y dotación (Sedes construidas, mantenidas reforzadas) 016_Sedes mantenidas</v>
      </c>
      <c r="Z394" s="248" t="str">
        <f>CONCATENATE(P394,Q394,R394,S394,V394)</f>
        <v>O23011745992024020708016</v>
      </c>
      <c r="AA394" s="248" t="str">
        <f>IFERROR(VLOOKUP(Y394,TD!$K$47:$L$65,2,0)," ")</f>
        <v>PM/0131/0108/45990160207</v>
      </c>
      <c r="AB394" s="53" t="s">
        <v>138</v>
      </c>
      <c r="AC394" s="250" t="s">
        <v>204</v>
      </c>
    </row>
    <row r="395" spans="2:29" s="28" customFormat="1" ht="56" x14ac:dyDescent="0.35">
      <c r="B395" s="77">
        <v>20250428</v>
      </c>
      <c r="C395" s="50" t="s">
        <v>208</v>
      </c>
      <c r="D395" s="246" t="s">
        <v>166</v>
      </c>
      <c r="E395" s="51" t="s">
        <v>558</v>
      </c>
      <c r="F395" s="246" t="s">
        <v>608</v>
      </c>
      <c r="G395" s="246" t="s">
        <v>155</v>
      </c>
      <c r="H395" s="93" t="s">
        <v>606</v>
      </c>
      <c r="I395" s="247">
        <v>2</v>
      </c>
      <c r="J395" s="247">
        <v>11</v>
      </c>
      <c r="K395" s="52">
        <v>0</v>
      </c>
      <c r="L395" s="53">
        <f>84613760-18256931</f>
        <v>66356829</v>
      </c>
      <c r="M395" s="246" t="s">
        <v>464</v>
      </c>
      <c r="N395" s="53" t="s">
        <v>607</v>
      </c>
      <c r="O395" s="51" t="s">
        <v>219</v>
      </c>
      <c r="P395" s="248" t="str">
        <f>IFERROR(VLOOKUP(C395,TD!$B$33:$F$37,2,0)," ")</f>
        <v>O230117</v>
      </c>
      <c r="Q395" s="248" t="str">
        <f>IFERROR(VLOOKUP(C395,TD!$B$33:$F$37,3,0)," ")</f>
        <v>4599</v>
      </c>
      <c r="R395" s="248">
        <f>IFERROR(VLOOKUP(C395,TD!$B$33:$F$37,4,0)," ")</f>
        <v>20240207</v>
      </c>
      <c r="S395" s="51" t="s">
        <v>185</v>
      </c>
      <c r="T395" s="248" t="str">
        <f>IFERROR(VLOOKUP(S395,TD!$J$34:$K$44,2,0)," ")</f>
        <v>Infraestructura física, mantenimiento y dotación (Sedes construidas, mantenidas reforzadas)</v>
      </c>
      <c r="U395" s="249" t="str">
        <f>CONCATENATE(S395,"-",T395)</f>
        <v>08-Infraestructura física, mantenimiento y dotación (Sedes construidas, mantenidas reforzadas)</v>
      </c>
      <c r="V395" s="51" t="s">
        <v>238</v>
      </c>
      <c r="W395" s="248" t="str">
        <f>IFERROR(VLOOKUP(V395,TD!$N$34:$O$46,2,0)," ")</f>
        <v>Sedes mantenidas</v>
      </c>
      <c r="X395" s="249" t="str">
        <f>CONCATENATE(V395,"_",W395)</f>
        <v>016_Sedes mantenidas</v>
      </c>
      <c r="Y395" s="249" t="str">
        <f>CONCATENATE(U395," ",X395)</f>
        <v>08-Infraestructura física, mantenimiento y dotación (Sedes construidas, mantenidas reforzadas) 016_Sedes mantenidas</v>
      </c>
      <c r="Z395" s="248" t="str">
        <f>CONCATENATE(P395,Q395,R395,S395,V395)</f>
        <v>O23011745992024020708016</v>
      </c>
      <c r="AA395" s="248" t="str">
        <f>IFERROR(VLOOKUP(Y395,TD!$K$47:$L$65,2,0)," ")</f>
        <v>PM/0131/0108/45990160207</v>
      </c>
      <c r="AB395" s="53" t="s">
        <v>138</v>
      </c>
      <c r="AC395" s="250" t="s">
        <v>204</v>
      </c>
    </row>
    <row r="396" spans="2:29" s="28" customFormat="1" ht="56" x14ac:dyDescent="0.35">
      <c r="B396" s="77">
        <v>20250429</v>
      </c>
      <c r="C396" s="50" t="s">
        <v>208</v>
      </c>
      <c r="D396" s="246" t="s">
        <v>166</v>
      </c>
      <c r="E396" s="51" t="s">
        <v>558</v>
      </c>
      <c r="F396" s="246" t="s">
        <v>716</v>
      </c>
      <c r="G396" s="246" t="s">
        <v>155</v>
      </c>
      <c r="H396" s="93" t="s">
        <v>606</v>
      </c>
      <c r="I396" s="247">
        <v>2</v>
      </c>
      <c r="J396" s="247">
        <v>11</v>
      </c>
      <c r="K396" s="52">
        <v>0</v>
      </c>
      <c r="L396" s="53">
        <v>56000000</v>
      </c>
      <c r="M396" s="246" t="s">
        <v>464</v>
      </c>
      <c r="N396" s="53" t="s">
        <v>607</v>
      </c>
      <c r="O396" s="51" t="s">
        <v>219</v>
      </c>
      <c r="P396" s="248" t="str">
        <f>IFERROR(VLOOKUP(C396,TD!$B$33:$F$37,2,0)," ")</f>
        <v>O230117</v>
      </c>
      <c r="Q396" s="248" t="str">
        <f>IFERROR(VLOOKUP(C396,TD!$B$33:$F$37,3,0)," ")</f>
        <v>4599</v>
      </c>
      <c r="R396" s="248">
        <f>IFERROR(VLOOKUP(C396,TD!$B$33:$F$37,4,0)," ")</f>
        <v>20240207</v>
      </c>
      <c r="S396" s="51" t="s">
        <v>185</v>
      </c>
      <c r="T396" s="248" t="str">
        <f>IFERROR(VLOOKUP(S396,TD!$J$34:$K$44,2,0)," ")</f>
        <v>Infraestructura física, mantenimiento y dotación (Sedes construidas, mantenidas reforzadas)</v>
      </c>
      <c r="U396" s="249" t="str">
        <f>CONCATENATE(S396,"-",T396)</f>
        <v>08-Infraestructura física, mantenimiento y dotación (Sedes construidas, mantenidas reforzadas)</v>
      </c>
      <c r="V396" s="51" t="s">
        <v>238</v>
      </c>
      <c r="W396" s="248" t="str">
        <f>IFERROR(VLOOKUP(V396,TD!$N$34:$O$46,2,0)," ")</f>
        <v>Sedes mantenidas</v>
      </c>
      <c r="X396" s="249" t="str">
        <f>CONCATENATE(V396,"_",W396)</f>
        <v>016_Sedes mantenidas</v>
      </c>
      <c r="Y396" s="249" t="str">
        <f>CONCATENATE(U396," ",X396)</f>
        <v>08-Infraestructura física, mantenimiento y dotación (Sedes construidas, mantenidas reforzadas) 016_Sedes mantenidas</v>
      </c>
      <c r="Z396" s="248" t="str">
        <f>CONCATENATE(P396,Q396,R396,S396,V396)</f>
        <v>O23011745992024020708016</v>
      </c>
      <c r="AA396" s="248" t="str">
        <f>IFERROR(VLOOKUP(Y396,TD!$K$47:$L$65,2,0)," ")</f>
        <v>PM/0131/0108/45990160207</v>
      </c>
      <c r="AB396" s="53" t="s">
        <v>120</v>
      </c>
      <c r="AC396" s="250" t="s">
        <v>204</v>
      </c>
    </row>
    <row r="397" spans="2:29" s="28" customFormat="1" ht="56" x14ac:dyDescent="0.35">
      <c r="B397" s="77">
        <v>20250430</v>
      </c>
      <c r="C397" s="50" t="s">
        <v>208</v>
      </c>
      <c r="D397" s="246" t="s">
        <v>166</v>
      </c>
      <c r="E397" s="51" t="s">
        <v>558</v>
      </c>
      <c r="F397" s="246" t="s">
        <v>568</v>
      </c>
      <c r="G397" s="246" t="s">
        <v>156</v>
      </c>
      <c r="H397" s="93" t="s">
        <v>606</v>
      </c>
      <c r="I397" s="247">
        <v>2</v>
      </c>
      <c r="J397" s="247">
        <v>11</v>
      </c>
      <c r="K397" s="52">
        <v>0</v>
      </c>
      <c r="L397" s="53">
        <f>33534424-8198173</f>
        <v>25336251</v>
      </c>
      <c r="M397" s="246" t="s">
        <v>464</v>
      </c>
      <c r="N397" s="53" t="s">
        <v>607</v>
      </c>
      <c r="O397" s="51" t="s">
        <v>219</v>
      </c>
      <c r="P397" s="248" t="str">
        <f>IFERROR(VLOOKUP(C397,TD!$B$33:$F$37,2,0)," ")</f>
        <v>O230117</v>
      </c>
      <c r="Q397" s="248" t="str">
        <f>IFERROR(VLOOKUP(C397,TD!$B$33:$F$37,3,0)," ")</f>
        <v>4599</v>
      </c>
      <c r="R397" s="248">
        <f>IFERROR(VLOOKUP(C397,TD!$B$33:$F$37,4,0)," ")</f>
        <v>20240207</v>
      </c>
      <c r="S397" s="51" t="s">
        <v>185</v>
      </c>
      <c r="T397" s="248" t="str">
        <f>IFERROR(VLOOKUP(S397,TD!$J$34:$K$44,2,0)," ")</f>
        <v>Infraestructura física, mantenimiento y dotación (Sedes construidas, mantenidas reforzadas)</v>
      </c>
      <c r="U397" s="249" t="str">
        <f>CONCATENATE(S397,"-",T397)</f>
        <v>08-Infraestructura física, mantenimiento y dotación (Sedes construidas, mantenidas reforzadas)</v>
      </c>
      <c r="V397" s="51" t="s">
        <v>238</v>
      </c>
      <c r="W397" s="248" t="str">
        <f>IFERROR(VLOOKUP(V397,TD!$N$34:$O$46,2,0)," ")</f>
        <v>Sedes mantenidas</v>
      </c>
      <c r="X397" s="249" t="str">
        <f>CONCATENATE(V397,"_",W397)</f>
        <v>016_Sedes mantenidas</v>
      </c>
      <c r="Y397" s="249" t="str">
        <f>CONCATENATE(U397," ",X397)</f>
        <v>08-Infraestructura física, mantenimiento y dotación (Sedes construidas, mantenidas reforzadas) 016_Sedes mantenidas</v>
      </c>
      <c r="Z397" s="248" t="str">
        <f>CONCATENATE(P397,Q397,R397,S397,V397)</f>
        <v>O23011745992024020708016</v>
      </c>
      <c r="AA397" s="248" t="str">
        <f>IFERROR(VLOOKUP(Y397,TD!$K$47:$L$65,2,0)," ")</f>
        <v>PM/0131/0108/45990160207</v>
      </c>
      <c r="AB397" s="53" t="s">
        <v>138</v>
      </c>
      <c r="AC397" s="250" t="s">
        <v>204</v>
      </c>
    </row>
    <row r="398" spans="2:29" s="28" customFormat="1" ht="56" x14ac:dyDescent="0.35">
      <c r="B398" s="77">
        <v>20250431</v>
      </c>
      <c r="C398" s="50" t="s">
        <v>208</v>
      </c>
      <c r="D398" s="246" t="s">
        <v>166</v>
      </c>
      <c r="E398" s="51" t="s">
        <v>558</v>
      </c>
      <c r="F398" s="246" t="s">
        <v>568</v>
      </c>
      <c r="G398" s="246" t="s">
        <v>156</v>
      </c>
      <c r="H398" s="93" t="s">
        <v>606</v>
      </c>
      <c r="I398" s="247">
        <v>2</v>
      </c>
      <c r="J398" s="247">
        <v>11</v>
      </c>
      <c r="K398" s="52">
        <v>0</v>
      </c>
      <c r="L398" s="53">
        <f>33534424-8198173</f>
        <v>25336251</v>
      </c>
      <c r="M398" s="246" t="s">
        <v>464</v>
      </c>
      <c r="N398" s="53" t="s">
        <v>607</v>
      </c>
      <c r="O398" s="51" t="s">
        <v>219</v>
      </c>
      <c r="P398" s="248" t="str">
        <f>IFERROR(VLOOKUP(C398,TD!$B$33:$F$37,2,0)," ")</f>
        <v>O230117</v>
      </c>
      <c r="Q398" s="248" t="str">
        <f>IFERROR(VLOOKUP(C398,TD!$B$33:$F$37,3,0)," ")</f>
        <v>4599</v>
      </c>
      <c r="R398" s="248">
        <f>IFERROR(VLOOKUP(C398,TD!$B$33:$F$37,4,0)," ")</f>
        <v>20240207</v>
      </c>
      <c r="S398" s="51" t="s">
        <v>185</v>
      </c>
      <c r="T398" s="248" t="str">
        <f>IFERROR(VLOOKUP(S398,TD!$J$34:$K$44,2,0)," ")</f>
        <v>Infraestructura física, mantenimiento y dotación (Sedes construidas, mantenidas reforzadas)</v>
      </c>
      <c r="U398" s="249" t="str">
        <f>CONCATENATE(S398,"-",T398)</f>
        <v>08-Infraestructura física, mantenimiento y dotación (Sedes construidas, mantenidas reforzadas)</v>
      </c>
      <c r="V398" s="51" t="s">
        <v>238</v>
      </c>
      <c r="W398" s="248" t="str">
        <f>IFERROR(VLOOKUP(V398,TD!$N$34:$O$46,2,0)," ")</f>
        <v>Sedes mantenidas</v>
      </c>
      <c r="X398" s="249" t="str">
        <f>CONCATENATE(V398,"_",W398)</f>
        <v>016_Sedes mantenidas</v>
      </c>
      <c r="Y398" s="249" t="str">
        <f>CONCATENATE(U398," ",X398)</f>
        <v>08-Infraestructura física, mantenimiento y dotación (Sedes construidas, mantenidas reforzadas) 016_Sedes mantenidas</v>
      </c>
      <c r="Z398" s="248" t="str">
        <f>CONCATENATE(P398,Q398,R398,S398,V398)</f>
        <v>O23011745992024020708016</v>
      </c>
      <c r="AA398" s="248" t="str">
        <f>IFERROR(VLOOKUP(Y398,TD!$K$47:$L$65,2,0)," ")</f>
        <v>PM/0131/0108/45990160207</v>
      </c>
      <c r="AB398" s="53" t="s">
        <v>138</v>
      </c>
      <c r="AC398" s="250" t="s">
        <v>204</v>
      </c>
    </row>
    <row r="399" spans="2:29" s="28" customFormat="1" ht="56" x14ac:dyDescent="0.35">
      <c r="B399" s="77">
        <v>20250432</v>
      </c>
      <c r="C399" s="50" t="s">
        <v>208</v>
      </c>
      <c r="D399" s="246" t="s">
        <v>166</v>
      </c>
      <c r="E399" s="51" t="s">
        <v>558</v>
      </c>
      <c r="F399" s="246" t="s">
        <v>568</v>
      </c>
      <c r="G399" s="246" t="s">
        <v>156</v>
      </c>
      <c r="H399" s="93" t="s">
        <v>606</v>
      </c>
      <c r="I399" s="247">
        <v>2</v>
      </c>
      <c r="J399" s="247">
        <v>11</v>
      </c>
      <c r="K399" s="52">
        <v>0</v>
      </c>
      <c r="L399" s="53">
        <f>33534424-8198173</f>
        <v>25336251</v>
      </c>
      <c r="M399" s="246" t="s">
        <v>464</v>
      </c>
      <c r="N399" s="53" t="s">
        <v>607</v>
      </c>
      <c r="O399" s="51" t="s">
        <v>219</v>
      </c>
      <c r="P399" s="248" t="str">
        <f>IFERROR(VLOOKUP(C399,TD!$B$33:$F$37,2,0)," ")</f>
        <v>O230117</v>
      </c>
      <c r="Q399" s="248" t="str">
        <f>IFERROR(VLOOKUP(C399,TD!$B$33:$F$37,3,0)," ")</f>
        <v>4599</v>
      </c>
      <c r="R399" s="248">
        <f>IFERROR(VLOOKUP(C399,TD!$B$33:$F$37,4,0)," ")</f>
        <v>20240207</v>
      </c>
      <c r="S399" s="51" t="s">
        <v>185</v>
      </c>
      <c r="T399" s="248" t="str">
        <f>IFERROR(VLOOKUP(S399,TD!$J$34:$K$44,2,0)," ")</f>
        <v>Infraestructura física, mantenimiento y dotación (Sedes construidas, mantenidas reforzadas)</v>
      </c>
      <c r="U399" s="249" t="str">
        <f>CONCATENATE(S399,"-",T399)</f>
        <v>08-Infraestructura física, mantenimiento y dotación (Sedes construidas, mantenidas reforzadas)</v>
      </c>
      <c r="V399" s="51" t="s">
        <v>238</v>
      </c>
      <c r="W399" s="248" t="str">
        <f>IFERROR(VLOOKUP(V399,TD!$N$34:$O$46,2,0)," ")</f>
        <v>Sedes mantenidas</v>
      </c>
      <c r="X399" s="249" t="str">
        <f>CONCATENATE(V399,"_",W399)</f>
        <v>016_Sedes mantenidas</v>
      </c>
      <c r="Y399" s="249" t="str">
        <f>CONCATENATE(U399," ",X399)</f>
        <v>08-Infraestructura física, mantenimiento y dotación (Sedes construidas, mantenidas reforzadas) 016_Sedes mantenidas</v>
      </c>
      <c r="Z399" s="248" t="str">
        <f>CONCATENATE(P399,Q399,R399,S399,V399)</f>
        <v>O23011745992024020708016</v>
      </c>
      <c r="AA399" s="248" t="str">
        <f>IFERROR(VLOOKUP(Y399,TD!$K$47:$L$65,2,0)," ")</f>
        <v>PM/0131/0108/45990160207</v>
      </c>
      <c r="AB399" s="53" t="s">
        <v>138</v>
      </c>
      <c r="AC399" s="250" t="s">
        <v>204</v>
      </c>
    </row>
    <row r="400" spans="2:29" s="28" customFormat="1" ht="56" x14ac:dyDescent="0.35">
      <c r="B400" s="77">
        <v>20250433</v>
      </c>
      <c r="C400" s="50" t="s">
        <v>208</v>
      </c>
      <c r="D400" s="246" t="s">
        <v>166</v>
      </c>
      <c r="E400" s="51" t="s">
        <v>558</v>
      </c>
      <c r="F400" s="246" t="s">
        <v>568</v>
      </c>
      <c r="G400" s="246" t="s">
        <v>156</v>
      </c>
      <c r="H400" s="93" t="s">
        <v>606</v>
      </c>
      <c r="I400" s="247">
        <v>2</v>
      </c>
      <c r="J400" s="247">
        <v>11</v>
      </c>
      <c r="K400" s="52">
        <v>0</v>
      </c>
      <c r="L400" s="53">
        <f>33534424-8198173</f>
        <v>25336251</v>
      </c>
      <c r="M400" s="246" t="s">
        <v>464</v>
      </c>
      <c r="N400" s="53" t="s">
        <v>607</v>
      </c>
      <c r="O400" s="51" t="s">
        <v>219</v>
      </c>
      <c r="P400" s="248" t="str">
        <f>IFERROR(VLOOKUP(C400,TD!$B$33:$F$37,2,0)," ")</f>
        <v>O230117</v>
      </c>
      <c r="Q400" s="248" t="str">
        <f>IFERROR(VLOOKUP(C400,TD!$B$33:$F$37,3,0)," ")</f>
        <v>4599</v>
      </c>
      <c r="R400" s="248">
        <f>IFERROR(VLOOKUP(C400,TD!$B$33:$F$37,4,0)," ")</f>
        <v>20240207</v>
      </c>
      <c r="S400" s="51" t="s">
        <v>185</v>
      </c>
      <c r="T400" s="248" t="str">
        <f>IFERROR(VLOOKUP(S400,TD!$J$34:$K$44,2,0)," ")</f>
        <v>Infraestructura física, mantenimiento y dotación (Sedes construidas, mantenidas reforzadas)</v>
      </c>
      <c r="U400" s="249" t="str">
        <f>CONCATENATE(S400,"-",T400)</f>
        <v>08-Infraestructura física, mantenimiento y dotación (Sedes construidas, mantenidas reforzadas)</v>
      </c>
      <c r="V400" s="51" t="s">
        <v>238</v>
      </c>
      <c r="W400" s="248" t="str">
        <f>IFERROR(VLOOKUP(V400,TD!$N$34:$O$46,2,0)," ")</f>
        <v>Sedes mantenidas</v>
      </c>
      <c r="X400" s="249" t="str">
        <f>CONCATENATE(V400,"_",W400)</f>
        <v>016_Sedes mantenidas</v>
      </c>
      <c r="Y400" s="249" t="str">
        <f>CONCATENATE(U400," ",X400)</f>
        <v>08-Infraestructura física, mantenimiento y dotación (Sedes construidas, mantenidas reforzadas) 016_Sedes mantenidas</v>
      </c>
      <c r="Z400" s="248" t="str">
        <f>CONCATENATE(P400,Q400,R400,S400,V400)</f>
        <v>O23011745992024020708016</v>
      </c>
      <c r="AA400" s="248" t="str">
        <f>IFERROR(VLOOKUP(Y400,TD!$K$47:$L$65,2,0)," ")</f>
        <v>PM/0131/0108/45990160207</v>
      </c>
      <c r="AB400" s="53" t="s">
        <v>138</v>
      </c>
      <c r="AC400" s="250" t="s">
        <v>204</v>
      </c>
    </row>
    <row r="401" spans="2:29" s="28" customFormat="1" ht="56" x14ac:dyDescent="0.35">
      <c r="B401" s="127">
        <v>20250434</v>
      </c>
      <c r="C401" s="129" t="s">
        <v>208</v>
      </c>
      <c r="D401" s="251" t="s">
        <v>166</v>
      </c>
      <c r="E401" s="252" t="s">
        <v>558</v>
      </c>
      <c r="F401" s="251" t="s">
        <v>582</v>
      </c>
      <c r="G401" s="251" t="s">
        <v>155</v>
      </c>
      <c r="H401" s="130" t="s">
        <v>606</v>
      </c>
      <c r="I401" s="253">
        <v>2</v>
      </c>
      <c r="J401" s="253">
        <v>11</v>
      </c>
      <c r="K401" s="126">
        <v>0</v>
      </c>
      <c r="L401" s="125">
        <v>72000000</v>
      </c>
      <c r="M401" s="251" t="s">
        <v>464</v>
      </c>
      <c r="N401" s="125" t="s">
        <v>607</v>
      </c>
      <c r="O401" s="252" t="s">
        <v>219</v>
      </c>
      <c r="P401" s="254" t="str">
        <f>IFERROR(VLOOKUP(C401,TD!$B$33:$F$37,2,0)," ")</f>
        <v>O230117</v>
      </c>
      <c r="Q401" s="254" t="str">
        <f>IFERROR(VLOOKUP(C401,TD!$B$33:$F$37,3,0)," ")</f>
        <v>4599</v>
      </c>
      <c r="R401" s="254">
        <f>IFERROR(VLOOKUP(C401,TD!$B$33:$F$37,4,0)," ")</f>
        <v>20240207</v>
      </c>
      <c r="S401" s="252" t="s">
        <v>185</v>
      </c>
      <c r="T401" s="254" t="str">
        <f>IFERROR(VLOOKUP(S401,TD!$J$34:$K$44,2,0)," ")</f>
        <v>Infraestructura física, mantenimiento y dotación (Sedes construidas, mantenidas reforzadas)</v>
      </c>
      <c r="U401" s="249" t="str">
        <f>CONCATENATE(S401,"-",T401)</f>
        <v>08-Infraestructura física, mantenimiento y dotación (Sedes construidas, mantenidas reforzadas)</v>
      </c>
      <c r="V401" s="252" t="s">
        <v>238</v>
      </c>
      <c r="W401" s="254" t="str">
        <f>IFERROR(VLOOKUP(V401,TD!$N$34:$O$46,2,0)," ")</f>
        <v>Sedes mantenidas</v>
      </c>
      <c r="X401" s="249" t="str">
        <f>CONCATENATE(V401,"_",W401)</f>
        <v>016_Sedes mantenidas</v>
      </c>
      <c r="Y401" s="249" t="str">
        <f>CONCATENATE(U401," ",X401)</f>
        <v>08-Infraestructura física, mantenimiento y dotación (Sedes construidas, mantenidas reforzadas) 016_Sedes mantenidas</v>
      </c>
      <c r="Z401" s="254" t="str">
        <f>CONCATENATE(P401,Q401,R401,S401,V401)</f>
        <v>O23011745992024020708016</v>
      </c>
      <c r="AA401" s="254" t="str">
        <f>IFERROR(VLOOKUP(Y401,TD!$K$47:$L$65,2,0)," ")</f>
        <v>PM/0131/0108/45990160207</v>
      </c>
      <c r="AB401" s="125" t="s">
        <v>138</v>
      </c>
      <c r="AC401" s="255" t="s">
        <v>204</v>
      </c>
    </row>
    <row r="402" spans="2:29" s="28" customFormat="1" ht="56" x14ac:dyDescent="0.35">
      <c r="B402" s="127">
        <v>20250436</v>
      </c>
      <c r="C402" s="129" t="s">
        <v>208</v>
      </c>
      <c r="D402" s="251" t="s">
        <v>166</v>
      </c>
      <c r="E402" s="252" t="s">
        <v>558</v>
      </c>
      <c r="F402" s="251" t="s">
        <v>798</v>
      </c>
      <c r="G402" s="251" t="s">
        <v>155</v>
      </c>
      <c r="H402" s="130" t="s">
        <v>606</v>
      </c>
      <c r="I402" s="253">
        <v>2</v>
      </c>
      <c r="J402" s="253">
        <v>11</v>
      </c>
      <c r="K402" s="126">
        <v>0</v>
      </c>
      <c r="L402" s="125">
        <v>59920000</v>
      </c>
      <c r="M402" s="251" t="s">
        <v>464</v>
      </c>
      <c r="N402" s="125" t="s">
        <v>607</v>
      </c>
      <c r="O402" s="252" t="s">
        <v>219</v>
      </c>
      <c r="P402" s="254" t="str">
        <f>IFERROR(VLOOKUP(C402,TD!$B$33:$F$37,2,0)," ")</f>
        <v>O230117</v>
      </c>
      <c r="Q402" s="254" t="str">
        <f>IFERROR(VLOOKUP(C402,TD!$B$33:$F$37,3,0)," ")</f>
        <v>4599</v>
      </c>
      <c r="R402" s="254">
        <f>IFERROR(VLOOKUP(C402,TD!$B$33:$F$37,4,0)," ")</f>
        <v>20240207</v>
      </c>
      <c r="S402" s="252" t="s">
        <v>185</v>
      </c>
      <c r="T402" s="254" t="str">
        <f>IFERROR(VLOOKUP(S402,TD!$J$34:$K$44,2,0)," ")</f>
        <v>Infraestructura física, mantenimiento y dotación (Sedes construidas, mantenidas reforzadas)</v>
      </c>
      <c r="U402" s="249" t="str">
        <f>CONCATENATE(S402,"-",T402)</f>
        <v>08-Infraestructura física, mantenimiento y dotación (Sedes construidas, mantenidas reforzadas)</v>
      </c>
      <c r="V402" s="252" t="s">
        <v>238</v>
      </c>
      <c r="W402" s="254" t="str">
        <f>IFERROR(VLOOKUP(V402,TD!$N$34:$O$46,2,0)," ")</f>
        <v>Sedes mantenidas</v>
      </c>
      <c r="X402" s="249" t="str">
        <f>CONCATENATE(V402,"_",W402)</f>
        <v>016_Sedes mantenidas</v>
      </c>
      <c r="Y402" s="249" t="str">
        <f>CONCATENATE(U402," ",X402)</f>
        <v>08-Infraestructura física, mantenimiento y dotación (Sedes construidas, mantenidas reforzadas) 016_Sedes mantenidas</v>
      </c>
      <c r="Z402" s="254" t="str">
        <f>CONCATENATE(P402,Q402,R402,S402,V402)</f>
        <v>O23011745992024020708016</v>
      </c>
      <c r="AA402" s="254" t="str">
        <f>IFERROR(VLOOKUP(Y402,TD!$K$47:$L$65,2,0)," ")</f>
        <v>PM/0131/0108/45990160207</v>
      </c>
      <c r="AB402" s="125" t="s">
        <v>138</v>
      </c>
      <c r="AC402" s="255" t="s">
        <v>204</v>
      </c>
    </row>
    <row r="403" spans="2:29" s="28" customFormat="1" ht="70" x14ac:dyDescent="0.35">
      <c r="B403" s="77">
        <v>20250437</v>
      </c>
      <c r="C403" s="50" t="s">
        <v>208</v>
      </c>
      <c r="D403" s="246" t="s">
        <v>166</v>
      </c>
      <c r="E403" s="51" t="s">
        <v>558</v>
      </c>
      <c r="F403" s="246" t="s">
        <v>584</v>
      </c>
      <c r="G403" s="246" t="s">
        <v>155</v>
      </c>
      <c r="H403" s="93" t="s">
        <v>606</v>
      </c>
      <c r="I403" s="247">
        <v>2</v>
      </c>
      <c r="J403" s="247">
        <v>11</v>
      </c>
      <c r="K403" s="52">
        <v>0</v>
      </c>
      <c r="L403" s="53">
        <f>77000000-15469124</f>
        <v>61530876</v>
      </c>
      <c r="M403" s="246" t="s">
        <v>464</v>
      </c>
      <c r="N403" s="53" t="s">
        <v>607</v>
      </c>
      <c r="O403" s="51" t="s">
        <v>219</v>
      </c>
      <c r="P403" s="248" t="str">
        <f>IFERROR(VLOOKUP(C403,TD!$B$33:$F$37,2,0)," ")</f>
        <v>O230117</v>
      </c>
      <c r="Q403" s="248" t="str">
        <f>IFERROR(VLOOKUP(C403,TD!$B$33:$F$37,3,0)," ")</f>
        <v>4599</v>
      </c>
      <c r="R403" s="248">
        <f>IFERROR(VLOOKUP(C403,TD!$B$33:$F$37,4,0)," ")</f>
        <v>20240207</v>
      </c>
      <c r="S403" s="51" t="s">
        <v>185</v>
      </c>
      <c r="T403" s="248" t="str">
        <f>IFERROR(VLOOKUP(S403,TD!$J$34:$K$44,2,0)," ")</f>
        <v>Infraestructura física, mantenimiento y dotación (Sedes construidas, mantenidas reforzadas)</v>
      </c>
      <c r="U403" s="249" t="str">
        <f>CONCATENATE(S403,"-",T403)</f>
        <v>08-Infraestructura física, mantenimiento y dotación (Sedes construidas, mantenidas reforzadas)</v>
      </c>
      <c r="V403" s="51" t="s">
        <v>238</v>
      </c>
      <c r="W403" s="248" t="str">
        <f>IFERROR(VLOOKUP(V403,TD!$N$34:$O$46,2,0)," ")</f>
        <v>Sedes mantenidas</v>
      </c>
      <c r="X403" s="249" t="str">
        <f>CONCATENATE(V403,"_",W403)</f>
        <v>016_Sedes mantenidas</v>
      </c>
      <c r="Y403" s="249" t="str">
        <f>CONCATENATE(U403," ",X403)</f>
        <v>08-Infraestructura física, mantenimiento y dotación (Sedes construidas, mantenidas reforzadas) 016_Sedes mantenidas</v>
      </c>
      <c r="Z403" s="248" t="str">
        <f>CONCATENATE(P403,Q403,R403,S403,V403)</f>
        <v>O23011745992024020708016</v>
      </c>
      <c r="AA403" s="248" t="str">
        <f>IFERROR(VLOOKUP(Y403,TD!$K$47:$L$65,2,0)," ")</f>
        <v>PM/0131/0108/45990160207</v>
      </c>
      <c r="AB403" s="53" t="s">
        <v>138</v>
      </c>
      <c r="AC403" s="250" t="s">
        <v>204</v>
      </c>
    </row>
    <row r="404" spans="2:29" s="28" customFormat="1" ht="98" x14ac:dyDescent="0.35">
      <c r="B404" s="77">
        <v>20250438</v>
      </c>
      <c r="C404" s="50" t="s">
        <v>208</v>
      </c>
      <c r="D404" s="246" t="s">
        <v>166</v>
      </c>
      <c r="E404" s="51" t="s">
        <v>558</v>
      </c>
      <c r="F404" s="246" t="s">
        <v>585</v>
      </c>
      <c r="G404" s="246" t="s">
        <v>156</v>
      </c>
      <c r="H404" s="93" t="s">
        <v>606</v>
      </c>
      <c r="I404" s="247">
        <v>2</v>
      </c>
      <c r="J404" s="247">
        <v>11</v>
      </c>
      <c r="K404" s="52">
        <v>0</v>
      </c>
      <c r="L404" s="53">
        <f>33534424-8198173</f>
        <v>25336251</v>
      </c>
      <c r="M404" s="246" t="s">
        <v>464</v>
      </c>
      <c r="N404" s="53" t="s">
        <v>607</v>
      </c>
      <c r="O404" s="51" t="s">
        <v>219</v>
      </c>
      <c r="P404" s="248" t="str">
        <f>IFERROR(VLOOKUP(C404,TD!$B$33:$F$37,2,0)," ")</f>
        <v>O230117</v>
      </c>
      <c r="Q404" s="248" t="str">
        <f>IFERROR(VLOOKUP(C404,TD!$B$33:$F$37,3,0)," ")</f>
        <v>4599</v>
      </c>
      <c r="R404" s="248">
        <f>IFERROR(VLOOKUP(C404,TD!$B$33:$F$37,4,0)," ")</f>
        <v>20240207</v>
      </c>
      <c r="S404" s="51" t="s">
        <v>185</v>
      </c>
      <c r="T404" s="248" t="str">
        <f>IFERROR(VLOOKUP(S404,TD!$J$34:$K$44,2,0)," ")</f>
        <v>Infraestructura física, mantenimiento y dotación (Sedes construidas, mantenidas reforzadas)</v>
      </c>
      <c r="U404" s="249" t="str">
        <f>CONCATENATE(S404,"-",T404)</f>
        <v>08-Infraestructura física, mantenimiento y dotación (Sedes construidas, mantenidas reforzadas)</v>
      </c>
      <c r="V404" s="51" t="s">
        <v>238</v>
      </c>
      <c r="W404" s="248" t="str">
        <f>IFERROR(VLOOKUP(V404,TD!$N$34:$O$46,2,0)," ")</f>
        <v>Sedes mantenidas</v>
      </c>
      <c r="X404" s="249" t="str">
        <f>CONCATENATE(V404,"_",W404)</f>
        <v>016_Sedes mantenidas</v>
      </c>
      <c r="Y404" s="249" t="str">
        <f>CONCATENATE(U404," ",X404)</f>
        <v>08-Infraestructura física, mantenimiento y dotación (Sedes construidas, mantenidas reforzadas) 016_Sedes mantenidas</v>
      </c>
      <c r="Z404" s="248" t="str">
        <f>CONCATENATE(P404,Q404,R404,S404,V404)</f>
        <v>O23011745992024020708016</v>
      </c>
      <c r="AA404" s="248" t="str">
        <f>IFERROR(VLOOKUP(Y404,TD!$K$47:$L$65,2,0)," ")</f>
        <v>PM/0131/0108/45990160207</v>
      </c>
      <c r="AB404" s="53" t="s">
        <v>138</v>
      </c>
      <c r="AC404" s="250" t="s">
        <v>204</v>
      </c>
    </row>
    <row r="405" spans="2:29" s="28" customFormat="1" ht="84" x14ac:dyDescent="0.35">
      <c r="B405" s="127">
        <v>20250439</v>
      </c>
      <c r="C405" s="129" t="s">
        <v>208</v>
      </c>
      <c r="D405" s="251" t="s">
        <v>166</v>
      </c>
      <c r="E405" s="252" t="s">
        <v>558</v>
      </c>
      <c r="F405" s="251" t="s">
        <v>586</v>
      </c>
      <c r="G405" s="251" t="s">
        <v>155</v>
      </c>
      <c r="H405" s="130" t="s">
        <v>606</v>
      </c>
      <c r="I405" s="253">
        <v>2</v>
      </c>
      <c r="J405" s="253">
        <v>11</v>
      </c>
      <c r="K405" s="126">
        <v>0</v>
      </c>
      <c r="L405" s="125">
        <v>46449783</v>
      </c>
      <c r="M405" s="251" t="s">
        <v>464</v>
      </c>
      <c r="N405" s="125" t="s">
        <v>607</v>
      </c>
      <c r="O405" s="252" t="s">
        <v>219</v>
      </c>
      <c r="P405" s="254" t="str">
        <f>IFERROR(VLOOKUP(C405,TD!$B$33:$F$37,2,0)," ")</f>
        <v>O230117</v>
      </c>
      <c r="Q405" s="254" t="str">
        <f>IFERROR(VLOOKUP(C405,TD!$B$33:$F$37,3,0)," ")</f>
        <v>4599</v>
      </c>
      <c r="R405" s="254">
        <f>IFERROR(VLOOKUP(C405,TD!$B$33:$F$37,4,0)," ")</f>
        <v>20240207</v>
      </c>
      <c r="S405" s="252" t="s">
        <v>185</v>
      </c>
      <c r="T405" s="254" t="str">
        <f>IFERROR(VLOOKUP(S405,TD!$J$34:$K$44,2,0)," ")</f>
        <v>Infraestructura física, mantenimiento y dotación (Sedes construidas, mantenidas reforzadas)</v>
      </c>
      <c r="U405" s="249" t="str">
        <f>CONCATENATE(S405,"-",T405)</f>
        <v>08-Infraestructura física, mantenimiento y dotación (Sedes construidas, mantenidas reforzadas)</v>
      </c>
      <c r="V405" s="252" t="s">
        <v>238</v>
      </c>
      <c r="W405" s="254" t="str">
        <f>IFERROR(VLOOKUP(V405,TD!$N$34:$O$46,2,0)," ")</f>
        <v>Sedes mantenidas</v>
      </c>
      <c r="X405" s="249" t="str">
        <f>CONCATENATE(V405,"_",W405)</f>
        <v>016_Sedes mantenidas</v>
      </c>
      <c r="Y405" s="249" t="str">
        <f>CONCATENATE(U405," ",X405)</f>
        <v>08-Infraestructura física, mantenimiento y dotación (Sedes construidas, mantenidas reforzadas) 016_Sedes mantenidas</v>
      </c>
      <c r="Z405" s="254" t="str">
        <f>CONCATENATE(P405,Q405,R405,S405,V405)</f>
        <v>O23011745992024020708016</v>
      </c>
      <c r="AA405" s="254" t="str">
        <f>IFERROR(VLOOKUP(Y405,TD!$K$47:$L$65,2,0)," ")</f>
        <v>PM/0131/0108/45990160207</v>
      </c>
      <c r="AB405" s="125" t="s">
        <v>138</v>
      </c>
      <c r="AC405" s="255" t="s">
        <v>204</v>
      </c>
    </row>
    <row r="406" spans="2:29" s="28" customFormat="1" ht="56" x14ac:dyDescent="0.35">
      <c r="B406" s="77">
        <v>20250440</v>
      </c>
      <c r="C406" s="50" t="s">
        <v>208</v>
      </c>
      <c r="D406" s="246" t="s">
        <v>166</v>
      </c>
      <c r="E406" s="51" t="s">
        <v>558</v>
      </c>
      <c r="F406" s="246" t="s">
        <v>587</v>
      </c>
      <c r="G406" s="246" t="s">
        <v>156</v>
      </c>
      <c r="H406" s="93" t="s">
        <v>606</v>
      </c>
      <c r="I406" s="247">
        <v>2</v>
      </c>
      <c r="J406" s="247">
        <v>11</v>
      </c>
      <c r="K406" s="52">
        <v>0</v>
      </c>
      <c r="L406" s="53">
        <v>33178419</v>
      </c>
      <c r="M406" s="246" t="s">
        <v>464</v>
      </c>
      <c r="N406" s="53" t="s">
        <v>607</v>
      </c>
      <c r="O406" s="51" t="s">
        <v>219</v>
      </c>
      <c r="P406" s="248" t="str">
        <f>IFERROR(VLOOKUP(C406,TD!$B$33:$F$37,2,0)," ")</f>
        <v>O230117</v>
      </c>
      <c r="Q406" s="248" t="str">
        <f>IFERROR(VLOOKUP(C406,TD!$B$33:$F$37,3,0)," ")</f>
        <v>4599</v>
      </c>
      <c r="R406" s="248">
        <f>IFERROR(VLOOKUP(C406,TD!$B$33:$F$37,4,0)," ")</f>
        <v>20240207</v>
      </c>
      <c r="S406" s="51" t="s">
        <v>185</v>
      </c>
      <c r="T406" s="248" t="str">
        <f>IFERROR(VLOOKUP(S406,TD!$J$34:$K$44,2,0)," ")</f>
        <v>Infraestructura física, mantenimiento y dotación (Sedes construidas, mantenidas reforzadas)</v>
      </c>
      <c r="U406" s="249" t="str">
        <f>CONCATENATE(S406,"-",T406)</f>
        <v>08-Infraestructura física, mantenimiento y dotación (Sedes construidas, mantenidas reforzadas)</v>
      </c>
      <c r="V406" s="51" t="s">
        <v>238</v>
      </c>
      <c r="W406" s="248" t="str">
        <f>IFERROR(VLOOKUP(V406,TD!$N$34:$O$46,2,0)," ")</f>
        <v>Sedes mantenidas</v>
      </c>
      <c r="X406" s="249" t="str">
        <f>CONCATENATE(V406,"_",W406)</f>
        <v>016_Sedes mantenidas</v>
      </c>
      <c r="Y406" s="249" t="str">
        <f>CONCATENATE(U406," ",X406)</f>
        <v>08-Infraestructura física, mantenimiento y dotación (Sedes construidas, mantenidas reforzadas) 016_Sedes mantenidas</v>
      </c>
      <c r="Z406" s="248" t="str">
        <f>CONCATENATE(P406,Q406,R406,S406,V406)</f>
        <v>O23011745992024020708016</v>
      </c>
      <c r="AA406" s="248" t="str">
        <f>IFERROR(VLOOKUP(Y406,TD!$K$47:$L$65,2,0)," ")</f>
        <v>PM/0131/0108/45990160207</v>
      </c>
      <c r="AB406" s="53" t="s">
        <v>138</v>
      </c>
      <c r="AC406" s="250" t="s">
        <v>204</v>
      </c>
    </row>
    <row r="407" spans="2:29" s="28" customFormat="1" ht="56" x14ac:dyDescent="0.35">
      <c r="B407" s="77">
        <v>20250442</v>
      </c>
      <c r="C407" s="50" t="s">
        <v>208</v>
      </c>
      <c r="D407" s="246" t="s">
        <v>166</v>
      </c>
      <c r="E407" s="51" t="s">
        <v>558</v>
      </c>
      <c r="F407" s="246" t="s">
        <v>587</v>
      </c>
      <c r="G407" s="246" t="s">
        <v>156</v>
      </c>
      <c r="H407" s="93" t="s">
        <v>606</v>
      </c>
      <c r="I407" s="94">
        <v>2</v>
      </c>
      <c r="J407" s="247">
        <v>11</v>
      </c>
      <c r="K407" s="52">
        <v>0</v>
      </c>
      <c r="L407" s="53">
        <v>19705973</v>
      </c>
      <c r="M407" s="246" t="s">
        <v>464</v>
      </c>
      <c r="N407" s="53" t="s">
        <v>607</v>
      </c>
      <c r="O407" s="51" t="s">
        <v>219</v>
      </c>
      <c r="P407" s="248" t="str">
        <f>IFERROR(VLOOKUP(C407,TD!$B$33:$F$37,2,0)," ")</f>
        <v>O230117</v>
      </c>
      <c r="Q407" s="248" t="str">
        <f>IFERROR(VLOOKUP(C407,TD!$B$33:$F$37,3,0)," ")</f>
        <v>4599</v>
      </c>
      <c r="R407" s="248">
        <f>IFERROR(VLOOKUP(C407,TD!$B$33:$F$37,4,0)," ")</f>
        <v>20240207</v>
      </c>
      <c r="S407" s="51" t="s">
        <v>185</v>
      </c>
      <c r="T407" s="248" t="str">
        <f>IFERROR(VLOOKUP(S407,TD!$J$34:$K$44,2,0)," ")</f>
        <v>Infraestructura física, mantenimiento y dotación (Sedes construidas, mantenidas reforzadas)</v>
      </c>
      <c r="U407" s="249" t="str">
        <f>CONCATENATE(S407,"-",T407)</f>
        <v>08-Infraestructura física, mantenimiento y dotación (Sedes construidas, mantenidas reforzadas)</v>
      </c>
      <c r="V407" s="51" t="s">
        <v>238</v>
      </c>
      <c r="W407" s="248" t="str">
        <f>IFERROR(VLOOKUP(V407,TD!$N$34:$O$46,2,0)," ")</f>
        <v>Sedes mantenidas</v>
      </c>
      <c r="X407" s="249" t="str">
        <f>CONCATENATE(V407,"_",W407)</f>
        <v>016_Sedes mantenidas</v>
      </c>
      <c r="Y407" s="249" t="str">
        <f>CONCATENATE(U407," ",X407)</f>
        <v>08-Infraestructura física, mantenimiento y dotación (Sedes construidas, mantenidas reforzadas) 016_Sedes mantenidas</v>
      </c>
      <c r="Z407" s="248" t="str">
        <f>CONCATENATE(P407,Q407,R407,S407,V407)</f>
        <v>O23011745992024020708016</v>
      </c>
      <c r="AA407" s="248" t="str">
        <f>IFERROR(VLOOKUP(Y407,TD!$K$47:$L$65,2,0)," ")</f>
        <v>PM/0131/0108/45990160207</v>
      </c>
      <c r="AB407" s="53" t="s">
        <v>138</v>
      </c>
      <c r="AC407" s="250" t="s">
        <v>204</v>
      </c>
    </row>
    <row r="408" spans="2:29" s="28" customFormat="1" ht="56" x14ac:dyDescent="0.35">
      <c r="B408" s="127">
        <v>20250443</v>
      </c>
      <c r="C408" s="129" t="s">
        <v>208</v>
      </c>
      <c r="D408" s="251" t="s">
        <v>166</v>
      </c>
      <c r="E408" s="252" t="s">
        <v>558</v>
      </c>
      <c r="F408" s="251" t="s">
        <v>587</v>
      </c>
      <c r="G408" s="251" t="s">
        <v>156</v>
      </c>
      <c r="H408" s="130" t="s">
        <v>606</v>
      </c>
      <c r="I408" s="170">
        <v>2</v>
      </c>
      <c r="J408" s="253">
        <v>11</v>
      </c>
      <c r="K408" s="126">
        <v>0</v>
      </c>
      <c r="L408" s="125">
        <v>24800000</v>
      </c>
      <c r="M408" s="251" t="s">
        <v>464</v>
      </c>
      <c r="N408" s="125" t="s">
        <v>607</v>
      </c>
      <c r="O408" s="252" t="s">
        <v>219</v>
      </c>
      <c r="P408" s="254" t="str">
        <f>IFERROR(VLOOKUP(C408,TD!$B$33:$F$37,2,0)," ")</f>
        <v>O230117</v>
      </c>
      <c r="Q408" s="254" t="str">
        <f>IFERROR(VLOOKUP(C408,TD!$B$33:$F$37,3,0)," ")</f>
        <v>4599</v>
      </c>
      <c r="R408" s="254">
        <f>IFERROR(VLOOKUP(C408,TD!$B$33:$F$37,4,0)," ")</f>
        <v>20240207</v>
      </c>
      <c r="S408" s="252" t="s">
        <v>185</v>
      </c>
      <c r="T408" s="254" t="str">
        <f>IFERROR(VLOOKUP(S408,TD!$J$34:$K$44,2,0)," ")</f>
        <v>Infraestructura física, mantenimiento y dotación (Sedes construidas, mantenidas reforzadas)</v>
      </c>
      <c r="U408" s="249" t="str">
        <f>CONCATENATE(S408,"-",T408)</f>
        <v>08-Infraestructura física, mantenimiento y dotación (Sedes construidas, mantenidas reforzadas)</v>
      </c>
      <c r="V408" s="252" t="s">
        <v>238</v>
      </c>
      <c r="W408" s="254" t="str">
        <f>IFERROR(VLOOKUP(V408,TD!$N$34:$O$46,2,0)," ")</f>
        <v>Sedes mantenidas</v>
      </c>
      <c r="X408" s="249" t="str">
        <f>CONCATENATE(V408,"_",W408)</f>
        <v>016_Sedes mantenidas</v>
      </c>
      <c r="Y408" s="249" t="str">
        <f>CONCATENATE(U408," ",X408)</f>
        <v>08-Infraestructura física, mantenimiento y dotación (Sedes construidas, mantenidas reforzadas) 016_Sedes mantenidas</v>
      </c>
      <c r="Z408" s="254" t="str">
        <f>CONCATENATE(P408,Q408,R408,S408,V408)</f>
        <v>O23011745992024020708016</v>
      </c>
      <c r="AA408" s="254" t="str">
        <f>IFERROR(VLOOKUP(Y408,TD!$K$47:$L$65,2,0)," ")</f>
        <v>PM/0131/0108/45990160207</v>
      </c>
      <c r="AB408" s="125" t="s">
        <v>138</v>
      </c>
      <c r="AC408" s="252" t="s">
        <v>204</v>
      </c>
    </row>
    <row r="409" spans="2:29" s="28" customFormat="1" ht="56" x14ac:dyDescent="0.35">
      <c r="B409" s="77">
        <v>20250444</v>
      </c>
      <c r="C409" s="50" t="s">
        <v>208</v>
      </c>
      <c r="D409" s="246" t="s">
        <v>166</v>
      </c>
      <c r="E409" s="51" t="s">
        <v>558</v>
      </c>
      <c r="F409" s="246" t="s">
        <v>717</v>
      </c>
      <c r="G409" s="246" t="s">
        <v>155</v>
      </c>
      <c r="H409" s="93" t="s">
        <v>606</v>
      </c>
      <c r="I409" s="247">
        <v>2</v>
      </c>
      <c r="J409" s="247">
        <v>11</v>
      </c>
      <c r="K409" s="52">
        <v>0</v>
      </c>
      <c r="L409" s="53">
        <v>46449783</v>
      </c>
      <c r="M409" s="246" t="s">
        <v>464</v>
      </c>
      <c r="N409" s="53" t="s">
        <v>607</v>
      </c>
      <c r="O409" s="51" t="s">
        <v>219</v>
      </c>
      <c r="P409" s="248" t="str">
        <f>IFERROR(VLOOKUP(C409,TD!$B$33:$F$37,2,0)," ")</f>
        <v>O230117</v>
      </c>
      <c r="Q409" s="248" t="str">
        <f>IFERROR(VLOOKUP(C409,TD!$B$33:$F$37,3,0)," ")</f>
        <v>4599</v>
      </c>
      <c r="R409" s="248">
        <f>IFERROR(VLOOKUP(C409,TD!$B$33:$F$37,4,0)," ")</f>
        <v>20240207</v>
      </c>
      <c r="S409" s="51" t="s">
        <v>185</v>
      </c>
      <c r="T409" s="248" t="str">
        <f>IFERROR(VLOOKUP(S409,TD!$J$34:$K$44,2,0)," ")</f>
        <v>Infraestructura física, mantenimiento y dotación (Sedes construidas, mantenidas reforzadas)</v>
      </c>
      <c r="U409" s="249" t="str">
        <f>CONCATENATE(S409,"-",T409)</f>
        <v>08-Infraestructura física, mantenimiento y dotación (Sedes construidas, mantenidas reforzadas)</v>
      </c>
      <c r="V409" s="51" t="s">
        <v>238</v>
      </c>
      <c r="W409" s="248" t="str">
        <f>IFERROR(VLOOKUP(V409,TD!$N$34:$O$46,2,0)," ")</f>
        <v>Sedes mantenidas</v>
      </c>
      <c r="X409" s="249" t="str">
        <f>CONCATENATE(V409,"_",W409)</f>
        <v>016_Sedes mantenidas</v>
      </c>
      <c r="Y409" s="249" t="str">
        <f>CONCATENATE(U409," ",X409)</f>
        <v>08-Infraestructura física, mantenimiento y dotación (Sedes construidas, mantenidas reforzadas) 016_Sedes mantenidas</v>
      </c>
      <c r="Z409" s="248" t="str">
        <f>CONCATENATE(P409,Q409,R409,S409,V409)</f>
        <v>O23011745992024020708016</v>
      </c>
      <c r="AA409" s="248" t="str">
        <f>IFERROR(VLOOKUP(Y409,TD!$K$47:$L$65,2,0)," ")</f>
        <v>PM/0131/0108/45990160207</v>
      </c>
      <c r="AB409" s="53" t="s">
        <v>138</v>
      </c>
      <c r="AC409" s="250" t="s">
        <v>204</v>
      </c>
    </row>
    <row r="410" spans="2:29" s="28" customFormat="1" ht="56" x14ac:dyDescent="0.35">
      <c r="B410" s="77">
        <v>20250445</v>
      </c>
      <c r="C410" s="50" t="s">
        <v>208</v>
      </c>
      <c r="D410" s="246" t="s">
        <v>166</v>
      </c>
      <c r="E410" s="51" t="s">
        <v>558</v>
      </c>
      <c r="F410" s="246" t="s">
        <v>718</v>
      </c>
      <c r="G410" s="246" t="s">
        <v>155</v>
      </c>
      <c r="H410" s="93" t="s">
        <v>606</v>
      </c>
      <c r="I410" s="247">
        <v>2</v>
      </c>
      <c r="J410" s="247">
        <v>11</v>
      </c>
      <c r="K410" s="52">
        <v>0</v>
      </c>
      <c r="L410" s="53">
        <v>46449783</v>
      </c>
      <c r="M410" s="246" t="s">
        <v>464</v>
      </c>
      <c r="N410" s="53" t="s">
        <v>607</v>
      </c>
      <c r="O410" s="51" t="s">
        <v>219</v>
      </c>
      <c r="P410" s="248" t="str">
        <f>IFERROR(VLOOKUP(C410,TD!$B$33:$F$37,2,0)," ")</f>
        <v>O230117</v>
      </c>
      <c r="Q410" s="248" t="str">
        <f>IFERROR(VLOOKUP(C410,TD!$B$33:$F$37,3,0)," ")</f>
        <v>4599</v>
      </c>
      <c r="R410" s="248">
        <f>IFERROR(VLOOKUP(C410,TD!$B$33:$F$37,4,0)," ")</f>
        <v>20240207</v>
      </c>
      <c r="S410" s="51" t="s">
        <v>185</v>
      </c>
      <c r="T410" s="248" t="str">
        <f>IFERROR(VLOOKUP(S410,TD!$J$34:$K$44,2,0)," ")</f>
        <v>Infraestructura física, mantenimiento y dotación (Sedes construidas, mantenidas reforzadas)</v>
      </c>
      <c r="U410" s="249" t="str">
        <f>CONCATENATE(S410,"-",T410)</f>
        <v>08-Infraestructura física, mantenimiento y dotación (Sedes construidas, mantenidas reforzadas)</v>
      </c>
      <c r="V410" s="51" t="s">
        <v>238</v>
      </c>
      <c r="W410" s="248" t="str">
        <f>IFERROR(VLOOKUP(V410,TD!$N$34:$O$46,2,0)," ")</f>
        <v>Sedes mantenidas</v>
      </c>
      <c r="X410" s="249" t="str">
        <f>CONCATENATE(V410,"_",W410)</f>
        <v>016_Sedes mantenidas</v>
      </c>
      <c r="Y410" s="249" t="str">
        <f>CONCATENATE(U410," ",X410)</f>
        <v>08-Infraestructura física, mantenimiento y dotación (Sedes construidas, mantenidas reforzadas) 016_Sedes mantenidas</v>
      </c>
      <c r="Z410" s="248" t="str">
        <f>CONCATENATE(P410,Q410,R410,S410,V410)</f>
        <v>O23011745992024020708016</v>
      </c>
      <c r="AA410" s="248" t="str">
        <f>IFERROR(VLOOKUP(Y410,TD!$K$47:$L$65,2,0)," ")</f>
        <v>PM/0131/0108/45990160207</v>
      </c>
      <c r="AB410" s="53" t="s">
        <v>138</v>
      </c>
      <c r="AC410" s="250" t="s">
        <v>204</v>
      </c>
    </row>
    <row r="411" spans="2:29" s="28" customFormat="1" ht="56" x14ac:dyDescent="0.35">
      <c r="B411" s="77">
        <v>20250446</v>
      </c>
      <c r="C411" s="50" t="s">
        <v>208</v>
      </c>
      <c r="D411" s="246" t="s">
        <v>166</v>
      </c>
      <c r="E411" s="51" t="s">
        <v>558</v>
      </c>
      <c r="F411" s="246" t="s">
        <v>719</v>
      </c>
      <c r="G411" s="246" t="s">
        <v>155</v>
      </c>
      <c r="H411" s="93" t="s">
        <v>606</v>
      </c>
      <c r="I411" s="247">
        <v>2</v>
      </c>
      <c r="J411" s="247">
        <v>11</v>
      </c>
      <c r="K411" s="52">
        <v>0</v>
      </c>
      <c r="L411" s="53">
        <v>46449783</v>
      </c>
      <c r="M411" s="246" t="s">
        <v>464</v>
      </c>
      <c r="N411" s="53" t="s">
        <v>607</v>
      </c>
      <c r="O411" s="51" t="s">
        <v>219</v>
      </c>
      <c r="P411" s="248" t="str">
        <f>IFERROR(VLOOKUP(C411,TD!$B$33:$F$37,2,0)," ")</f>
        <v>O230117</v>
      </c>
      <c r="Q411" s="248" t="str">
        <f>IFERROR(VLOOKUP(C411,TD!$B$33:$F$37,3,0)," ")</f>
        <v>4599</v>
      </c>
      <c r="R411" s="248">
        <f>IFERROR(VLOOKUP(C411,TD!$B$33:$F$37,4,0)," ")</f>
        <v>20240207</v>
      </c>
      <c r="S411" s="51" t="s">
        <v>185</v>
      </c>
      <c r="T411" s="248" t="str">
        <f>IFERROR(VLOOKUP(S411,TD!$J$34:$K$44,2,0)," ")</f>
        <v>Infraestructura física, mantenimiento y dotación (Sedes construidas, mantenidas reforzadas)</v>
      </c>
      <c r="U411" s="249" t="str">
        <f>CONCATENATE(S411,"-",T411)</f>
        <v>08-Infraestructura física, mantenimiento y dotación (Sedes construidas, mantenidas reforzadas)</v>
      </c>
      <c r="V411" s="51" t="s">
        <v>238</v>
      </c>
      <c r="W411" s="248" t="str">
        <f>IFERROR(VLOOKUP(V411,TD!$N$34:$O$46,2,0)," ")</f>
        <v>Sedes mantenidas</v>
      </c>
      <c r="X411" s="249" t="str">
        <f>CONCATENATE(V411,"_",W411)</f>
        <v>016_Sedes mantenidas</v>
      </c>
      <c r="Y411" s="249" t="str">
        <f>CONCATENATE(U411," ",X411)</f>
        <v>08-Infraestructura física, mantenimiento y dotación (Sedes construidas, mantenidas reforzadas) 016_Sedes mantenidas</v>
      </c>
      <c r="Z411" s="248" t="str">
        <f>CONCATENATE(P411,Q411,R411,S411,V411)</f>
        <v>O23011745992024020708016</v>
      </c>
      <c r="AA411" s="248" t="str">
        <f>IFERROR(VLOOKUP(Y411,TD!$K$47:$L$65,2,0)," ")</f>
        <v>PM/0131/0108/45990160207</v>
      </c>
      <c r="AB411" s="53" t="s">
        <v>138</v>
      </c>
      <c r="AC411" s="250" t="s">
        <v>204</v>
      </c>
    </row>
    <row r="412" spans="2:29" s="28" customFormat="1" ht="56" x14ac:dyDescent="0.35">
      <c r="B412" s="127">
        <v>20250447</v>
      </c>
      <c r="C412" s="129" t="s">
        <v>208</v>
      </c>
      <c r="D412" s="251" t="s">
        <v>166</v>
      </c>
      <c r="E412" s="252" t="s">
        <v>558</v>
      </c>
      <c r="F412" s="251" t="s">
        <v>588</v>
      </c>
      <c r="G412" s="251" t="s">
        <v>155</v>
      </c>
      <c r="H412" s="130" t="s">
        <v>606</v>
      </c>
      <c r="I412" s="253">
        <v>2</v>
      </c>
      <c r="J412" s="253">
        <v>11</v>
      </c>
      <c r="K412" s="126">
        <v>0</v>
      </c>
      <c r="L412" s="125">
        <v>61530876</v>
      </c>
      <c r="M412" s="251" t="s">
        <v>464</v>
      </c>
      <c r="N412" s="125" t="s">
        <v>607</v>
      </c>
      <c r="O412" s="252" t="s">
        <v>219</v>
      </c>
      <c r="P412" s="254" t="str">
        <f>IFERROR(VLOOKUP(C412,TD!$B$33:$F$37,2,0)," ")</f>
        <v>O230117</v>
      </c>
      <c r="Q412" s="254" t="str">
        <f>IFERROR(VLOOKUP(C412,TD!$B$33:$F$37,3,0)," ")</f>
        <v>4599</v>
      </c>
      <c r="R412" s="254">
        <f>IFERROR(VLOOKUP(C412,TD!$B$33:$F$37,4,0)," ")</f>
        <v>20240207</v>
      </c>
      <c r="S412" s="252" t="s">
        <v>185</v>
      </c>
      <c r="T412" s="254" t="str">
        <f>IFERROR(VLOOKUP(S412,TD!$J$34:$K$44,2,0)," ")</f>
        <v>Infraestructura física, mantenimiento y dotación (Sedes construidas, mantenidas reforzadas)</v>
      </c>
      <c r="U412" s="249" t="str">
        <f>CONCATENATE(S412,"-",T412)</f>
        <v>08-Infraestructura física, mantenimiento y dotación (Sedes construidas, mantenidas reforzadas)</v>
      </c>
      <c r="V412" s="252" t="s">
        <v>238</v>
      </c>
      <c r="W412" s="254" t="str">
        <f>IFERROR(VLOOKUP(V412,TD!$N$34:$O$46,2,0)," ")</f>
        <v>Sedes mantenidas</v>
      </c>
      <c r="X412" s="249" t="str">
        <f>CONCATENATE(V412,"_",W412)</f>
        <v>016_Sedes mantenidas</v>
      </c>
      <c r="Y412" s="249" t="str">
        <f>CONCATENATE(U412," ",X412)</f>
        <v>08-Infraestructura física, mantenimiento y dotación (Sedes construidas, mantenidas reforzadas) 016_Sedes mantenidas</v>
      </c>
      <c r="Z412" s="254" t="str">
        <f>CONCATENATE(P412,Q412,R412,S412,V412)</f>
        <v>O23011745992024020708016</v>
      </c>
      <c r="AA412" s="254" t="str">
        <f>IFERROR(VLOOKUP(Y412,TD!$K$47:$L$65,2,0)," ")</f>
        <v>PM/0131/0108/45990160207</v>
      </c>
      <c r="AB412" s="125" t="s">
        <v>138</v>
      </c>
      <c r="AC412" s="255" t="s">
        <v>204</v>
      </c>
    </row>
    <row r="413" spans="2:29" s="28" customFormat="1" ht="70" x14ac:dyDescent="0.35">
      <c r="B413" s="127">
        <v>20250448</v>
      </c>
      <c r="C413" s="50" t="s">
        <v>208</v>
      </c>
      <c r="D413" s="246" t="s">
        <v>166</v>
      </c>
      <c r="E413" s="51" t="s">
        <v>558</v>
      </c>
      <c r="F413" s="246" t="s">
        <v>567</v>
      </c>
      <c r="G413" s="246" t="s">
        <v>156</v>
      </c>
      <c r="H413" s="93" t="s">
        <v>606</v>
      </c>
      <c r="I413" s="247">
        <v>2</v>
      </c>
      <c r="J413" s="247">
        <v>11</v>
      </c>
      <c r="K413" s="52">
        <v>0</v>
      </c>
      <c r="L413" s="53">
        <v>34600000</v>
      </c>
      <c r="M413" s="246" t="s">
        <v>464</v>
      </c>
      <c r="N413" s="53" t="s">
        <v>607</v>
      </c>
      <c r="O413" s="51" t="s">
        <v>219</v>
      </c>
      <c r="P413" s="248" t="str">
        <f>IFERROR(VLOOKUP(C413,TD!$B$33:$F$37,2,0)," ")</f>
        <v>O230117</v>
      </c>
      <c r="Q413" s="248" t="str">
        <f>IFERROR(VLOOKUP(C413,TD!$B$33:$F$37,3,0)," ")</f>
        <v>4599</v>
      </c>
      <c r="R413" s="248">
        <f>IFERROR(VLOOKUP(C413,TD!$B$33:$F$37,4,0)," ")</f>
        <v>20240207</v>
      </c>
      <c r="S413" s="51" t="s">
        <v>185</v>
      </c>
      <c r="T413" s="248" t="str">
        <f>IFERROR(VLOOKUP(S413,TD!$J$34:$K$44,2,0)," ")</f>
        <v>Infraestructura física, mantenimiento y dotación (Sedes construidas, mantenidas reforzadas)</v>
      </c>
      <c r="U413" s="249" t="str">
        <f>CONCATENATE(S413,"-",T413)</f>
        <v>08-Infraestructura física, mantenimiento y dotación (Sedes construidas, mantenidas reforzadas)</v>
      </c>
      <c r="V413" s="51" t="s">
        <v>238</v>
      </c>
      <c r="W413" s="248" t="str">
        <f>IFERROR(VLOOKUP(V413,TD!$N$34:$O$46,2,0)," ")</f>
        <v>Sedes mantenidas</v>
      </c>
      <c r="X413" s="249" t="str">
        <f>CONCATENATE(V413,"_",W413)</f>
        <v>016_Sedes mantenidas</v>
      </c>
      <c r="Y413" s="249" t="str">
        <f>CONCATENATE(U413," ",X413)</f>
        <v>08-Infraestructura física, mantenimiento y dotación (Sedes construidas, mantenidas reforzadas) 016_Sedes mantenidas</v>
      </c>
      <c r="Z413" s="248" t="str">
        <f>CONCATENATE(P413,Q413,R413,S413,V413)</f>
        <v>O23011745992024020708016</v>
      </c>
      <c r="AA413" s="248" t="str">
        <f>IFERROR(VLOOKUP(Y413,TD!$K$47:$L$65,2,0)," ")</f>
        <v>PM/0131/0108/45990160207</v>
      </c>
      <c r="AB413" s="53" t="s">
        <v>138</v>
      </c>
      <c r="AC413" s="250" t="s">
        <v>204</v>
      </c>
    </row>
    <row r="414" spans="2:29" s="28" customFormat="1" ht="112" x14ac:dyDescent="0.35">
      <c r="B414" s="127">
        <v>20250449</v>
      </c>
      <c r="C414" s="50" t="s">
        <v>208</v>
      </c>
      <c r="D414" s="246" t="s">
        <v>166</v>
      </c>
      <c r="E414" s="51" t="s">
        <v>558</v>
      </c>
      <c r="F414" s="246" t="s">
        <v>569</v>
      </c>
      <c r="G414" s="246" t="s">
        <v>156</v>
      </c>
      <c r="H414" s="93" t="s">
        <v>606</v>
      </c>
      <c r="I414" s="247">
        <v>2</v>
      </c>
      <c r="J414" s="247">
        <v>11</v>
      </c>
      <c r="K414" s="52">
        <v>0</v>
      </c>
      <c r="L414" s="53">
        <v>33178419</v>
      </c>
      <c r="M414" s="246" t="s">
        <v>464</v>
      </c>
      <c r="N414" s="53" t="s">
        <v>607</v>
      </c>
      <c r="O414" s="51" t="s">
        <v>219</v>
      </c>
      <c r="P414" s="248" t="str">
        <f>IFERROR(VLOOKUP(C414,TD!$B$33:$F$37,2,0)," ")</f>
        <v>O230117</v>
      </c>
      <c r="Q414" s="248" t="str">
        <f>IFERROR(VLOOKUP(C414,TD!$B$33:$F$37,3,0)," ")</f>
        <v>4599</v>
      </c>
      <c r="R414" s="248">
        <f>IFERROR(VLOOKUP(C414,TD!$B$33:$F$37,4,0)," ")</f>
        <v>20240207</v>
      </c>
      <c r="S414" s="51" t="s">
        <v>185</v>
      </c>
      <c r="T414" s="248" t="str">
        <f>IFERROR(VLOOKUP(S414,TD!$J$34:$K$44,2,0)," ")</f>
        <v>Infraestructura física, mantenimiento y dotación (Sedes construidas, mantenidas reforzadas)</v>
      </c>
      <c r="U414" s="249" t="str">
        <f>CONCATENATE(S414,"-",T414)</f>
        <v>08-Infraestructura física, mantenimiento y dotación (Sedes construidas, mantenidas reforzadas)</v>
      </c>
      <c r="V414" s="51" t="s">
        <v>238</v>
      </c>
      <c r="W414" s="248" t="str">
        <f>IFERROR(VLOOKUP(V414,TD!$N$34:$O$46,2,0)," ")</f>
        <v>Sedes mantenidas</v>
      </c>
      <c r="X414" s="249" t="str">
        <f>CONCATENATE(V414,"_",W414)</f>
        <v>016_Sedes mantenidas</v>
      </c>
      <c r="Y414" s="249" t="str">
        <f>CONCATENATE(U414," ",X414)</f>
        <v>08-Infraestructura física, mantenimiento y dotación (Sedes construidas, mantenidas reforzadas) 016_Sedes mantenidas</v>
      </c>
      <c r="Z414" s="248" t="str">
        <f>CONCATENATE(P414,Q414,R414,S414,V414)</f>
        <v>O23011745992024020708016</v>
      </c>
      <c r="AA414" s="248" t="str">
        <f>IFERROR(VLOOKUP(Y414,TD!$K$47:$L$65,2,0)," ")</f>
        <v>PM/0131/0108/45990160207</v>
      </c>
      <c r="AB414" s="53" t="s">
        <v>138</v>
      </c>
      <c r="AC414" s="250" t="s">
        <v>204</v>
      </c>
    </row>
    <row r="415" spans="2:29" s="28" customFormat="1" ht="70" x14ac:dyDescent="0.35">
      <c r="B415" s="127">
        <v>20250450</v>
      </c>
      <c r="C415" s="129" t="s">
        <v>208</v>
      </c>
      <c r="D415" s="251" t="s">
        <v>166</v>
      </c>
      <c r="E415" s="252" t="s">
        <v>558</v>
      </c>
      <c r="F415" s="251" t="s">
        <v>570</v>
      </c>
      <c r="G415" s="251" t="s">
        <v>155</v>
      </c>
      <c r="H415" s="130" t="s">
        <v>606</v>
      </c>
      <c r="I415" s="253">
        <v>2</v>
      </c>
      <c r="J415" s="253">
        <v>11</v>
      </c>
      <c r="K415" s="126">
        <v>0</v>
      </c>
      <c r="L415" s="125">
        <v>61530876</v>
      </c>
      <c r="M415" s="251" t="s">
        <v>464</v>
      </c>
      <c r="N415" s="125" t="s">
        <v>607</v>
      </c>
      <c r="O415" s="252" t="s">
        <v>219</v>
      </c>
      <c r="P415" s="254" t="str">
        <f>IFERROR(VLOOKUP(C415,TD!$B$33:$F$37,2,0)," ")</f>
        <v>O230117</v>
      </c>
      <c r="Q415" s="254" t="str">
        <f>IFERROR(VLOOKUP(C415,TD!$B$33:$F$37,3,0)," ")</f>
        <v>4599</v>
      </c>
      <c r="R415" s="254">
        <f>IFERROR(VLOOKUP(C415,TD!$B$33:$F$37,4,0)," ")</f>
        <v>20240207</v>
      </c>
      <c r="S415" s="252" t="s">
        <v>185</v>
      </c>
      <c r="T415" s="254" t="str">
        <f>IFERROR(VLOOKUP(S415,TD!$J$34:$K$44,2,0)," ")</f>
        <v>Infraestructura física, mantenimiento y dotación (Sedes construidas, mantenidas reforzadas)</v>
      </c>
      <c r="U415" s="249" t="str">
        <f>CONCATENATE(S415,"-",T415)</f>
        <v>08-Infraestructura física, mantenimiento y dotación (Sedes construidas, mantenidas reforzadas)</v>
      </c>
      <c r="V415" s="252" t="s">
        <v>238</v>
      </c>
      <c r="W415" s="254" t="str">
        <f>IFERROR(VLOOKUP(V415,TD!$N$34:$O$46,2,0)," ")</f>
        <v>Sedes mantenidas</v>
      </c>
      <c r="X415" s="249" t="str">
        <f>CONCATENATE(V415,"_",W415)</f>
        <v>016_Sedes mantenidas</v>
      </c>
      <c r="Y415" s="249" t="str">
        <f>CONCATENATE(U415," ",X415)</f>
        <v>08-Infraestructura física, mantenimiento y dotación (Sedes construidas, mantenidas reforzadas) 016_Sedes mantenidas</v>
      </c>
      <c r="Z415" s="254" t="str">
        <f>CONCATENATE(P415,Q415,R415,S415,V415)</f>
        <v>O23011745992024020708016</v>
      </c>
      <c r="AA415" s="254" t="str">
        <f>IFERROR(VLOOKUP(Y415,TD!$K$47:$L$65,2,0)," ")</f>
        <v>PM/0131/0108/45990160207</v>
      </c>
      <c r="AB415" s="125" t="s">
        <v>138</v>
      </c>
      <c r="AC415" s="255" t="s">
        <v>204</v>
      </c>
    </row>
    <row r="416" spans="2:29" s="28" customFormat="1" ht="56" x14ac:dyDescent="0.35">
      <c r="B416" s="127">
        <v>20250451</v>
      </c>
      <c r="C416" s="50" t="s">
        <v>208</v>
      </c>
      <c r="D416" s="246" t="s">
        <v>166</v>
      </c>
      <c r="E416" s="51" t="s">
        <v>558</v>
      </c>
      <c r="F416" s="246" t="s">
        <v>571</v>
      </c>
      <c r="G416" s="246" t="s">
        <v>155</v>
      </c>
      <c r="H416" s="93" t="s">
        <v>606</v>
      </c>
      <c r="I416" s="247">
        <v>2</v>
      </c>
      <c r="J416" s="253">
        <v>11</v>
      </c>
      <c r="K416" s="126">
        <v>0</v>
      </c>
      <c r="L416" s="53">
        <v>46449783</v>
      </c>
      <c r="M416" s="246" t="s">
        <v>464</v>
      </c>
      <c r="N416" s="53" t="s">
        <v>607</v>
      </c>
      <c r="O416" s="51" t="s">
        <v>219</v>
      </c>
      <c r="P416" s="248" t="str">
        <f>IFERROR(VLOOKUP(C416,TD!$B$33:$F$37,2,0)," ")</f>
        <v>O230117</v>
      </c>
      <c r="Q416" s="248" t="str">
        <f>IFERROR(VLOOKUP(C416,TD!$B$33:$F$37,3,0)," ")</f>
        <v>4599</v>
      </c>
      <c r="R416" s="248">
        <f>IFERROR(VLOOKUP(C416,TD!$B$33:$F$37,4,0)," ")</f>
        <v>20240207</v>
      </c>
      <c r="S416" s="51" t="s">
        <v>185</v>
      </c>
      <c r="T416" s="248" t="str">
        <f>IFERROR(VLOOKUP(S416,TD!$J$34:$K$44,2,0)," ")</f>
        <v>Infraestructura física, mantenimiento y dotación (Sedes construidas, mantenidas reforzadas)</v>
      </c>
      <c r="U416" s="249" t="str">
        <f>CONCATENATE(S416,"-",T416)</f>
        <v>08-Infraestructura física, mantenimiento y dotación (Sedes construidas, mantenidas reforzadas)</v>
      </c>
      <c r="V416" s="51" t="s">
        <v>238</v>
      </c>
      <c r="W416" s="248" t="str">
        <f>IFERROR(VLOOKUP(V416,TD!$N$34:$O$46,2,0)," ")</f>
        <v>Sedes mantenidas</v>
      </c>
      <c r="X416" s="249" t="str">
        <f>CONCATENATE(V416,"_",W416)</f>
        <v>016_Sedes mantenidas</v>
      </c>
      <c r="Y416" s="249" t="str">
        <f>CONCATENATE(U416," ",X416)</f>
        <v>08-Infraestructura física, mantenimiento y dotación (Sedes construidas, mantenidas reforzadas) 016_Sedes mantenidas</v>
      </c>
      <c r="Z416" s="248" t="str">
        <f>CONCATENATE(P416,Q416,R416,S416,V416)</f>
        <v>O23011745992024020708016</v>
      </c>
      <c r="AA416" s="248" t="str">
        <f>IFERROR(VLOOKUP(Y416,TD!$K$47:$L$65,2,0)," ")</f>
        <v>PM/0131/0108/45990160207</v>
      </c>
      <c r="AB416" s="53" t="s">
        <v>120</v>
      </c>
      <c r="AC416" s="250" t="s">
        <v>204</v>
      </c>
    </row>
    <row r="417" spans="2:29" s="28" customFormat="1" ht="42" x14ac:dyDescent="0.35">
      <c r="B417" s="77">
        <v>20250452</v>
      </c>
      <c r="C417" s="50" t="s">
        <v>208</v>
      </c>
      <c r="D417" s="246" t="s">
        <v>166</v>
      </c>
      <c r="E417" s="51" t="s">
        <v>558</v>
      </c>
      <c r="F417" s="246" t="s">
        <v>591</v>
      </c>
      <c r="G417" s="246" t="s">
        <v>146</v>
      </c>
      <c r="H417" s="93" t="s">
        <v>721</v>
      </c>
      <c r="I417" s="247">
        <v>3</v>
      </c>
      <c r="J417" s="247">
        <v>8</v>
      </c>
      <c r="K417" s="52">
        <v>0</v>
      </c>
      <c r="L417" s="53">
        <v>60000000</v>
      </c>
      <c r="M417" s="246" t="s">
        <v>464</v>
      </c>
      <c r="N417" s="53" t="s">
        <v>609</v>
      </c>
      <c r="O417" s="51" t="s">
        <v>218</v>
      </c>
      <c r="P417" s="248" t="str">
        <f>IFERROR(VLOOKUP(C417,TD!$B$33:$F$37,2,0)," ")</f>
        <v>O230117</v>
      </c>
      <c r="Q417" s="248" t="str">
        <f>IFERROR(VLOOKUP(C417,TD!$B$33:$F$37,3,0)," ")</f>
        <v>4599</v>
      </c>
      <c r="R417" s="248">
        <f>IFERROR(VLOOKUP(C417,TD!$B$33:$F$37,4,0)," ")</f>
        <v>20240207</v>
      </c>
      <c r="S417" s="51" t="s">
        <v>185</v>
      </c>
      <c r="T417" s="248" t="str">
        <f>IFERROR(VLOOKUP(S417,TD!$J$34:$K$44,2,0)," ")</f>
        <v>Infraestructura física, mantenimiento y dotación (Sedes construidas, mantenidas reforzadas)</v>
      </c>
      <c r="U417" s="249" t="str">
        <f>CONCATENATE(S417,"-",T417)</f>
        <v>08-Infraestructura física, mantenimiento y dotación (Sedes construidas, mantenidas reforzadas)</v>
      </c>
      <c r="V417" s="51" t="s">
        <v>238</v>
      </c>
      <c r="W417" s="248" t="str">
        <f>IFERROR(VLOOKUP(V417,TD!$N$34:$O$46,2,0)," ")</f>
        <v>Sedes mantenidas</v>
      </c>
      <c r="X417" s="249" t="str">
        <f>CONCATENATE(V417,"_",W417)</f>
        <v>016_Sedes mantenidas</v>
      </c>
      <c r="Y417" s="249" t="str">
        <f>CONCATENATE(U417," ",X417)</f>
        <v>08-Infraestructura física, mantenimiento y dotación (Sedes construidas, mantenidas reforzadas) 016_Sedes mantenidas</v>
      </c>
      <c r="Z417" s="248" t="str">
        <f>CONCATENATE(P417,Q417,R417,S417,V417)</f>
        <v>O23011745992024020708016</v>
      </c>
      <c r="AA417" s="248" t="str">
        <f>IFERROR(VLOOKUP(Y417,TD!$K$47:$L$65,2,0)," ")</f>
        <v>PM/0131/0108/45990160207</v>
      </c>
      <c r="AB417" s="53" t="s">
        <v>147</v>
      </c>
      <c r="AC417" s="250" t="s">
        <v>204</v>
      </c>
    </row>
    <row r="418" spans="2:29" s="28" customFormat="1" ht="42" x14ac:dyDescent="0.35">
      <c r="B418" s="127">
        <v>20250453</v>
      </c>
      <c r="C418" s="129" t="s">
        <v>208</v>
      </c>
      <c r="D418" s="251" t="s">
        <v>166</v>
      </c>
      <c r="E418" s="252" t="s">
        <v>558</v>
      </c>
      <c r="F418" s="251" t="s">
        <v>592</v>
      </c>
      <c r="G418" s="251" t="s">
        <v>146</v>
      </c>
      <c r="H418" s="130" t="s">
        <v>720</v>
      </c>
      <c r="I418" s="253">
        <v>4</v>
      </c>
      <c r="J418" s="253">
        <v>8</v>
      </c>
      <c r="K418" s="126">
        <v>0</v>
      </c>
      <c r="L418" s="125">
        <v>46000000</v>
      </c>
      <c r="M418" s="251" t="s">
        <v>464</v>
      </c>
      <c r="N418" s="125" t="s">
        <v>609</v>
      </c>
      <c r="O418" s="252" t="s">
        <v>218</v>
      </c>
      <c r="P418" s="254" t="str">
        <f>IFERROR(VLOOKUP(C418,TD!$B$33:$F$37,2,0)," ")</f>
        <v>O230117</v>
      </c>
      <c r="Q418" s="254" t="str">
        <f>IFERROR(VLOOKUP(C418,TD!$B$33:$F$37,3,0)," ")</f>
        <v>4599</v>
      </c>
      <c r="R418" s="254">
        <f>IFERROR(VLOOKUP(C418,TD!$B$33:$F$37,4,0)," ")</f>
        <v>20240207</v>
      </c>
      <c r="S418" s="252" t="s">
        <v>185</v>
      </c>
      <c r="T418" s="254" t="str">
        <f>IFERROR(VLOOKUP(S418,TD!$J$34:$K$44,2,0)," ")</f>
        <v>Infraestructura física, mantenimiento y dotación (Sedes construidas, mantenidas reforzadas)</v>
      </c>
      <c r="U418" s="249" t="str">
        <f>CONCATENATE(S418,"-",T418)</f>
        <v>08-Infraestructura física, mantenimiento y dotación (Sedes construidas, mantenidas reforzadas)</v>
      </c>
      <c r="V418" s="252" t="s">
        <v>238</v>
      </c>
      <c r="W418" s="254" t="str">
        <f>IFERROR(VLOOKUP(V418,TD!$N$34:$O$46,2,0)," ")</f>
        <v>Sedes mantenidas</v>
      </c>
      <c r="X418" s="249" t="str">
        <f>CONCATENATE(V418,"_",W418)</f>
        <v>016_Sedes mantenidas</v>
      </c>
      <c r="Y418" s="249" t="str">
        <f>CONCATENATE(U418," ",X418)</f>
        <v>08-Infraestructura física, mantenimiento y dotación (Sedes construidas, mantenidas reforzadas) 016_Sedes mantenidas</v>
      </c>
      <c r="Z418" s="254" t="str">
        <f>CONCATENATE(P418,Q418,R418,S418,V418)</f>
        <v>O23011745992024020708016</v>
      </c>
      <c r="AA418" s="254" t="str">
        <f>IFERROR(VLOOKUP(Y418,TD!$K$47:$L$65,2,0)," ")</f>
        <v>PM/0131/0108/45990160207</v>
      </c>
      <c r="AB418" s="53" t="s">
        <v>147</v>
      </c>
      <c r="AC418" s="255" t="s">
        <v>204</v>
      </c>
    </row>
    <row r="419" spans="2:29" s="28" customFormat="1" ht="42" x14ac:dyDescent="0.35">
      <c r="B419" s="127">
        <v>20250454</v>
      </c>
      <c r="C419" s="129" t="s">
        <v>208</v>
      </c>
      <c r="D419" s="251" t="s">
        <v>166</v>
      </c>
      <c r="E419" s="252" t="s">
        <v>558</v>
      </c>
      <c r="F419" s="251" t="s">
        <v>840</v>
      </c>
      <c r="G419" s="251" t="s">
        <v>146</v>
      </c>
      <c r="H419" s="130" t="s">
        <v>841</v>
      </c>
      <c r="I419" s="253">
        <v>3</v>
      </c>
      <c r="J419" s="253">
        <v>0</v>
      </c>
      <c r="K419" s="126">
        <v>0</v>
      </c>
      <c r="L419" s="125">
        <v>26000000</v>
      </c>
      <c r="M419" s="251" t="s">
        <v>464</v>
      </c>
      <c r="N419" s="125" t="s">
        <v>100</v>
      </c>
      <c r="O419" s="252" t="s">
        <v>218</v>
      </c>
      <c r="P419" s="254" t="str">
        <f>IFERROR(VLOOKUP(C419,TD!$B$33:$F$37,2,0)," ")</f>
        <v>O230117</v>
      </c>
      <c r="Q419" s="254" t="str">
        <f>IFERROR(VLOOKUP(C419,TD!$B$33:$F$37,3,0)," ")</f>
        <v>4599</v>
      </c>
      <c r="R419" s="254">
        <f>IFERROR(VLOOKUP(C419,TD!$B$33:$F$37,4,0)," ")</f>
        <v>20240207</v>
      </c>
      <c r="S419" s="252" t="s">
        <v>185</v>
      </c>
      <c r="T419" s="254" t="str">
        <f>IFERROR(VLOOKUP(S419,TD!$J$34:$K$44,2,0)," ")</f>
        <v>Infraestructura física, mantenimiento y dotación (Sedes construidas, mantenidas reforzadas)</v>
      </c>
      <c r="U419" s="249" t="str">
        <f>CONCATENATE(S419,"-",T419)</f>
        <v>08-Infraestructura física, mantenimiento y dotación (Sedes construidas, mantenidas reforzadas)</v>
      </c>
      <c r="V419" s="252" t="s">
        <v>238</v>
      </c>
      <c r="W419" s="254" t="str">
        <f>IFERROR(VLOOKUP(V419,TD!$N$34:$O$46,2,0)," ")</f>
        <v>Sedes mantenidas</v>
      </c>
      <c r="X419" s="249" t="str">
        <f>CONCATENATE(V419,"_",W419)</f>
        <v>016_Sedes mantenidas</v>
      </c>
      <c r="Y419" s="249" t="str">
        <f>CONCATENATE(U419," ",X419)</f>
        <v>08-Infraestructura física, mantenimiento y dotación (Sedes construidas, mantenidas reforzadas) 016_Sedes mantenidas</v>
      </c>
      <c r="Z419" s="254" t="str">
        <f>CONCATENATE(P419,Q419,R419,S419,V419)</f>
        <v>O23011745992024020708016</v>
      </c>
      <c r="AA419" s="254" t="str">
        <f>IFERROR(VLOOKUP(Y419,TD!$K$47:$L$65,2,0)," ")</f>
        <v>PM/0131/0108/45990160207</v>
      </c>
      <c r="AB419" s="53" t="s">
        <v>147</v>
      </c>
      <c r="AC419" s="255" t="s">
        <v>205</v>
      </c>
    </row>
    <row r="420" spans="2:29" s="28" customFormat="1" ht="56" x14ac:dyDescent="0.35">
      <c r="B420" s="77">
        <v>20250455</v>
      </c>
      <c r="C420" s="50" t="s">
        <v>208</v>
      </c>
      <c r="D420" s="246" t="s">
        <v>166</v>
      </c>
      <c r="E420" s="51" t="s">
        <v>558</v>
      </c>
      <c r="F420" s="246" t="s">
        <v>937</v>
      </c>
      <c r="G420" s="246" t="s">
        <v>146</v>
      </c>
      <c r="H420" s="93" t="s">
        <v>938</v>
      </c>
      <c r="I420" s="247">
        <v>8</v>
      </c>
      <c r="J420" s="247">
        <v>8</v>
      </c>
      <c r="K420" s="52">
        <v>0</v>
      </c>
      <c r="L420" s="53">
        <v>50000000</v>
      </c>
      <c r="M420" s="246" t="s">
        <v>464</v>
      </c>
      <c r="N420" s="53" t="s">
        <v>100</v>
      </c>
      <c r="O420" s="51" t="s">
        <v>218</v>
      </c>
      <c r="P420" s="248" t="str">
        <f>IFERROR(VLOOKUP(C420,TD!$B$33:$F$37,2,0)," ")</f>
        <v>O230117</v>
      </c>
      <c r="Q420" s="248" t="str">
        <f>IFERROR(VLOOKUP(C420,TD!$B$33:$F$37,3,0)," ")</f>
        <v>4599</v>
      </c>
      <c r="R420" s="248">
        <f>IFERROR(VLOOKUP(C420,TD!$B$33:$F$37,4,0)," ")</f>
        <v>20240207</v>
      </c>
      <c r="S420" s="51" t="s">
        <v>185</v>
      </c>
      <c r="T420" s="248" t="str">
        <f>IFERROR(VLOOKUP(S420,TD!$J$34:$K$44,2,0)," ")</f>
        <v>Infraestructura física, mantenimiento y dotación (Sedes construidas, mantenidas reforzadas)</v>
      </c>
      <c r="U420" s="249" t="str">
        <f>CONCATENATE(S420,"-",T420)</f>
        <v>08-Infraestructura física, mantenimiento y dotación (Sedes construidas, mantenidas reforzadas)</v>
      </c>
      <c r="V420" s="51" t="s">
        <v>238</v>
      </c>
      <c r="W420" s="248" t="str">
        <f>IFERROR(VLOOKUP(V420,TD!$N$34:$O$46,2,0)," ")</f>
        <v>Sedes mantenidas</v>
      </c>
      <c r="X420" s="249" t="str">
        <f>CONCATENATE(V420,"_",W420)</f>
        <v>016_Sedes mantenidas</v>
      </c>
      <c r="Y420" s="249" t="str">
        <f>CONCATENATE(U420," ",X420)</f>
        <v>08-Infraestructura física, mantenimiento y dotación (Sedes construidas, mantenidas reforzadas) 016_Sedes mantenidas</v>
      </c>
      <c r="Z420" s="248" t="str">
        <f>CONCATENATE(P420,Q420,R420,S420,V420)</f>
        <v>O23011745992024020708016</v>
      </c>
      <c r="AA420" s="248" t="str">
        <f>IFERROR(VLOOKUP(Y420,TD!$K$47:$L$65,2,0)," ")</f>
        <v>PM/0131/0108/45990160207</v>
      </c>
      <c r="AB420" s="53" t="s">
        <v>147</v>
      </c>
      <c r="AC420" s="250" t="s">
        <v>204</v>
      </c>
    </row>
    <row r="421" spans="2:29" s="28" customFormat="1" ht="56" x14ac:dyDescent="0.35">
      <c r="B421" s="127">
        <v>20250456</v>
      </c>
      <c r="C421" s="129" t="s">
        <v>208</v>
      </c>
      <c r="D421" s="251" t="s">
        <v>166</v>
      </c>
      <c r="E421" s="252" t="s">
        <v>558</v>
      </c>
      <c r="F421" s="251" t="s">
        <v>842</v>
      </c>
      <c r="G421" s="251" t="s">
        <v>146</v>
      </c>
      <c r="H421" s="130" t="s">
        <v>610</v>
      </c>
      <c r="I421" s="253">
        <v>4</v>
      </c>
      <c r="J421" s="253">
        <v>10</v>
      </c>
      <c r="K421" s="126">
        <v>0</v>
      </c>
      <c r="L421" s="125">
        <v>70000000</v>
      </c>
      <c r="M421" s="251" t="s">
        <v>464</v>
      </c>
      <c r="N421" s="125" t="s">
        <v>90</v>
      </c>
      <c r="O421" s="252" t="s">
        <v>218</v>
      </c>
      <c r="P421" s="254" t="str">
        <f>IFERROR(VLOOKUP(C421,TD!$B$33:$F$37,2,0)," ")</f>
        <v>O230117</v>
      </c>
      <c r="Q421" s="254" t="str">
        <f>IFERROR(VLOOKUP(C421,TD!$B$33:$F$37,3,0)," ")</f>
        <v>4599</v>
      </c>
      <c r="R421" s="254">
        <f>IFERROR(VLOOKUP(C421,TD!$B$33:$F$37,4,0)," ")</f>
        <v>20240207</v>
      </c>
      <c r="S421" s="252" t="s">
        <v>185</v>
      </c>
      <c r="T421" s="254" t="str">
        <f>IFERROR(VLOOKUP(S421,TD!$J$34:$K$44,2,0)," ")</f>
        <v>Infraestructura física, mantenimiento y dotación (Sedes construidas, mantenidas reforzadas)</v>
      </c>
      <c r="U421" s="249" t="str">
        <f>CONCATENATE(S421,"-",T421)</f>
        <v>08-Infraestructura física, mantenimiento y dotación (Sedes construidas, mantenidas reforzadas)</v>
      </c>
      <c r="V421" s="252" t="s">
        <v>238</v>
      </c>
      <c r="W421" s="254" t="str">
        <f>IFERROR(VLOOKUP(V421,TD!$N$34:$O$46,2,0)," ")</f>
        <v>Sedes mantenidas</v>
      </c>
      <c r="X421" s="249" t="str">
        <f>CONCATENATE(V421,"_",W421)</f>
        <v>016_Sedes mantenidas</v>
      </c>
      <c r="Y421" s="249" t="str">
        <f>CONCATENATE(U421," ",X421)</f>
        <v>08-Infraestructura física, mantenimiento y dotación (Sedes construidas, mantenidas reforzadas) 016_Sedes mantenidas</v>
      </c>
      <c r="Z421" s="254" t="str">
        <f>CONCATENATE(P421,Q421,R421,S421,V421)</f>
        <v>O23011745992024020708016</v>
      </c>
      <c r="AA421" s="254" t="str">
        <f>IFERROR(VLOOKUP(Y421,TD!$K$47:$L$65,2,0)," ")</f>
        <v>PM/0131/0108/45990160207</v>
      </c>
      <c r="AB421" s="53" t="s">
        <v>147</v>
      </c>
      <c r="AC421" s="255" t="s">
        <v>204</v>
      </c>
    </row>
    <row r="422" spans="2:29" s="28" customFormat="1" ht="56" x14ac:dyDescent="0.35">
      <c r="B422" s="77">
        <v>20250457</v>
      </c>
      <c r="C422" s="50" t="s">
        <v>208</v>
      </c>
      <c r="D422" s="246" t="s">
        <v>166</v>
      </c>
      <c r="E422" s="51" t="s">
        <v>558</v>
      </c>
      <c r="F422" s="246" t="s">
        <v>611</v>
      </c>
      <c r="G422" s="246" t="s">
        <v>146</v>
      </c>
      <c r="H422" s="93" t="s">
        <v>612</v>
      </c>
      <c r="I422" s="247">
        <v>1</v>
      </c>
      <c r="J422" s="247">
        <v>9</v>
      </c>
      <c r="K422" s="52">
        <v>0</v>
      </c>
      <c r="L422" s="53">
        <v>100000000</v>
      </c>
      <c r="M422" s="246" t="s">
        <v>464</v>
      </c>
      <c r="N422" s="53" t="s">
        <v>90</v>
      </c>
      <c r="O422" s="51" t="s">
        <v>218</v>
      </c>
      <c r="P422" s="248" t="str">
        <f>IFERROR(VLOOKUP(C422,TD!$B$33:$F$37,2,0)," ")</f>
        <v>O230117</v>
      </c>
      <c r="Q422" s="248" t="str">
        <f>IFERROR(VLOOKUP(C422,TD!$B$33:$F$37,3,0)," ")</f>
        <v>4599</v>
      </c>
      <c r="R422" s="248">
        <f>IFERROR(VLOOKUP(C422,TD!$B$33:$F$37,4,0)," ")</f>
        <v>20240207</v>
      </c>
      <c r="S422" s="51" t="s">
        <v>185</v>
      </c>
      <c r="T422" s="248" t="str">
        <f>IFERROR(VLOOKUP(S422,TD!$J$34:$K$44,2,0)," ")</f>
        <v>Infraestructura física, mantenimiento y dotación (Sedes construidas, mantenidas reforzadas)</v>
      </c>
      <c r="U422" s="249" t="str">
        <f>CONCATENATE(S422,"-",T422)</f>
        <v>08-Infraestructura física, mantenimiento y dotación (Sedes construidas, mantenidas reforzadas)</v>
      </c>
      <c r="V422" s="51" t="s">
        <v>238</v>
      </c>
      <c r="W422" s="248" t="str">
        <f>IFERROR(VLOOKUP(V422,TD!$N$34:$O$46,2,0)," ")</f>
        <v>Sedes mantenidas</v>
      </c>
      <c r="X422" s="249" t="str">
        <f>CONCATENATE(V422,"_",W422)</f>
        <v>016_Sedes mantenidas</v>
      </c>
      <c r="Y422" s="249" t="str">
        <f>CONCATENATE(U422," ",X422)</f>
        <v>08-Infraestructura física, mantenimiento y dotación (Sedes construidas, mantenidas reforzadas) 016_Sedes mantenidas</v>
      </c>
      <c r="Z422" s="248" t="str">
        <f>CONCATENATE(P422,Q422,R422,S422,V422)</f>
        <v>O23011745992024020708016</v>
      </c>
      <c r="AA422" s="248" t="str">
        <f>IFERROR(VLOOKUP(Y422,TD!$K$47:$L$65,2,0)," ")</f>
        <v>PM/0131/0108/45990160207</v>
      </c>
      <c r="AB422" s="53" t="s">
        <v>147</v>
      </c>
      <c r="AC422" s="250" t="s">
        <v>204</v>
      </c>
    </row>
    <row r="423" spans="2:29" s="28" customFormat="1" ht="42" x14ac:dyDescent="0.35">
      <c r="B423" s="77">
        <v>20250459</v>
      </c>
      <c r="C423" s="50" t="s">
        <v>209</v>
      </c>
      <c r="D423" s="246" t="s">
        <v>166</v>
      </c>
      <c r="E423" s="51" t="s">
        <v>558</v>
      </c>
      <c r="F423" s="246" t="s">
        <v>722</v>
      </c>
      <c r="G423" s="246" t="s">
        <v>155</v>
      </c>
      <c r="H423" s="93" t="s">
        <v>606</v>
      </c>
      <c r="I423" s="247">
        <v>2</v>
      </c>
      <c r="J423" s="247">
        <v>11</v>
      </c>
      <c r="K423" s="52">
        <v>0</v>
      </c>
      <c r="L423" s="53">
        <v>66356829</v>
      </c>
      <c r="M423" s="246" t="s">
        <v>464</v>
      </c>
      <c r="N423" s="53" t="s">
        <v>607</v>
      </c>
      <c r="O423" s="51" t="s">
        <v>227</v>
      </c>
      <c r="P423" s="248" t="str">
        <f>IFERROR(VLOOKUP(C423,TD!$B$33:$F$37,2,0)," ")</f>
        <v>O230117</v>
      </c>
      <c r="Q423" s="248" t="str">
        <f>IFERROR(VLOOKUP(C423,TD!$B$33:$F$37,3,0)," ")</f>
        <v>4503</v>
      </c>
      <c r="R423" s="248">
        <f>IFERROR(VLOOKUP(C423,TD!$B$33:$F$37,4,0)," ")</f>
        <v>20240255</v>
      </c>
      <c r="S423" s="51" t="s">
        <v>185</v>
      </c>
      <c r="T423" s="248" t="str">
        <f>IFERROR(VLOOKUP(S423,TD!$J$34:$K$44,2,0)," ")</f>
        <v>Infraestructura física, mantenimiento y dotación (Sedes construidas, mantenidas reforzadas)</v>
      </c>
      <c r="U423" s="249" t="str">
        <f>CONCATENATE(S423,"-",T423)</f>
        <v>08-Infraestructura física, mantenimiento y dotación (Sedes construidas, mantenidas reforzadas)</v>
      </c>
      <c r="V423" s="51" t="s">
        <v>236</v>
      </c>
      <c r="W423" s="248" t="str">
        <f>IFERROR(VLOOKUP(V423,TD!$N$34:$O$46,2,0)," ")</f>
        <v>Estaciones de bomberos adecuadas</v>
      </c>
      <c r="X423" s="249" t="str">
        <f>CONCATENATE(V423,"_",W423)</f>
        <v>014_Estaciones de bomberos adecuadas</v>
      </c>
      <c r="Y423" s="249" t="str">
        <f>CONCATENATE(U423," ",X423)</f>
        <v>08-Infraestructura física, mantenimiento y dotación (Sedes construidas, mantenidas reforzadas) 014_Estaciones de bomberos adecuadas</v>
      </c>
      <c r="Z423" s="248" t="str">
        <f>CONCATENATE(P423,Q423,R423,S423,V423)</f>
        <v>O23011745032024025508014</v>
      </c>
      <c r="AA423" s="248" t="str">
        <f>IFERROR(VLOOKUP(Y423,TD!$K$47:$L$65,2,0)," ")</f>
        <v>PM/0131/0108/45030140255</v>
      </c>
      <c r="AB423" s="53" t="s">
        <v>662</v>
      </c>
      <c r="AC423" s="250" t="s">
        <v>204</v>
      </c>
    </row>
    <row r="424" spans="2:29" s="28" customFormat="1" ht="56" x14ac:dyDescent="0.35">
      <c r="B424" s="77">
        <v>20250460</v>
      </c>
      <c r="C424" s="50" t="s">
        <v>209</v>
      </c>
      <c r="D424" s="246" t="s">
        <v>166</v>
      </c>
      <c r="E424" s="51" t="s">
        <v>558</v>
      </c>
      <c r="F424" s="246" t="s">
        <v>723</v>
      </c>
      <c r="G424" s="246" t="s">
        <v>155</v>
      </c>
      <c r="H424" s="93" t="s">
        <v>606</v>
      </c>
      <c r="I424" s="247">
        <v>2</v>
      </c>
      <c r="J424" s="247">
        <v>11</v>
      </c>
      <c r="K424" s="52">
        <v>0</v>
      </c>
      <c r="L424" s="53">
        <v>81000000</v>
      </c>
      <c r="M424" s="246" t="s">
        <v>464</v>
      </c>
      <c r="N424" s="53" t="s">
        <v>607</v>
      </c>
      <c r="O424" s="51" t="s">
        <v>227</v>
      </c>
      <c r="P424" s="248" t="str">
        <f>IFERROR(VLOOKUP(C424,TD!$B$33:$F$37,2,0)," ")</f>
        <v>O230117</v>
      </c>
      <c r="Q424" s="248" t="str">
        <f>IFERROR(VLOOKUP(C424,TD!$B$33:$F$37,3,0)," ")</f>
        <v>4503</v>
      </c>
      <c r="R424" s="248">
        <f>IFERROR(VLOOKUP(C424,TD!$B$33:$F$37,4,0)," ")</f>
        <v>20240255</v>
      </c>
      <c r="S424" s="51" t="s">
        <v>185</v>
      </c>
      <c r="T424" s="248" t="str">
        <f>IFERROR(VLOOKUP(S424,TD!$J$34:$K$44,2,0)," ")</f>
        <v>Infraestructura física, mantenimiento y dotación (Sedes construidas, mantenidas reforzadas)</v>
      </c>
      <c r="U424" s="249" t="str">
        <f>CONCATENATE(S424,"-",T424)</f>
        <v>08-Infraestructura física, mantenimiento y dotación (Sedes construidas, mantenidas reforzadas)</v>
      </c>
      <c r="V424" s="51" t="s">
        <v>236</v>
      </c>
      <c r="W424" s="248" t="str">
        <f>IFERROR(VLOOKUP(V424,TD!$N$34:$O$46,2,0)," ")</f>
        <v>Estaciones de bomberos adecuadas</v>
      </c>
      <c r="X424" s="249" t="str">
        <f>CONCATENATE(V424,"_",W424)</f>
        <v>014_Estaciones de bomberos adecuadas</v>
      </c>
      <c r="Y424" s="249" t="str">
        <f>CONCATENATE(U424," ",X424)</f>
        <v>08-Infraestructura física, mantenimiento y dotación (Sedes construidas, mantenidas reforzadas) 014_Estaciones de bomberos adecuadas</v>
      </c>
      <c r="Z424" s="248" t="str">
        <f>CONCATENATE(P424,Q424,R424,S424,V424)</f>
        <v>O23011745032024025508014</v>
      </c>
      <c r="AA424" s="248" t="str">
        <f>IFERROR(VLOOKUP(Y424,TD!$K$47:$L$65,2,0)," ")</f>
        <v>PM/0131/0108/45030140255</v>
      </c>
      <c r="AB424" s="53" t="s">
        <v>662</v>
      </c>
      <c r="AC424" s="250" t="s">
        <v>204</v>
      </c>
    </row>
    <row r="425" spans="2:29" s="28" customFormat="1" ht="56" x14ac:dyDescent="0.35">
      <c r="B425" s="77">
        <v>20250461</v>
      </c>
      <c r="C425" s="50" t="s">
        <v>209</v>
      </c>
      <c r="D425" s="246" t="s">
        <v>166</v>
      </c>
      <c r="E425" s="51" t="s">
        <v>558</v>
      </c>
      <c r="F425" s="246" t="s">
        <v>723</v>
      </c>
      <c r="G425" s="246" t="s">
        <v>155</v>
      </c>
      <c r="H425" s="93" t="s">
        <v>606</v>
      </c>
      <c r="I425" s="247">
        <v>2</v>
      </c>
      <c r="J425" s="247">
        <v>11</v>
      </c>
      <c r="K425" s="52">
        <v>0</v>
      </c>
      <c r="L425" s="53">
        <v>81000000</v>
      </c>
      <c r="M425" s="246" t="s">
        <v>464</v>
      </c>
      <c r="N425" s="53" t="s">
        <v>607</v>
      </c>
      <c r="O425" s="51" t="s">
        <v>227</v>
      </c>
      <c r="P425" s="248" t="str">
        <f>IFERROR(VLOOKUP(C425,TD!$B$33:$F$37,2,0)," ")</f>
        <v>O230117</v>
      </c>
      <c r="Q425" s="248" t="str">
        <f>IFERROR(VLOOKUP(C425,TD!$B$33:$F$37,3,0)," ")</f>
        <v>4503</v>
      </c>
      <c r="R425" s="248">
        <f>IFERROR(VLOOKUP(C425,TD!$B$33:$F$37,4,0)," ")</f>
        <v>20240255</v>
      </c>
      <c r="S425" s="51" t="s">
        <v>185</v>
      </c>
      <c r="T425" s="248" t="str">
        <f>IFERROR(VLOOKUP(S425,TD!$J$34:$K$44,2,0)," ")</f>
        <v>Infraestructura física, mantenimiento y dotación (Sedes construidas, mantenidas reforzadas)</v>
      </c>
      <c r="U425" s="249" t="str">
        <f>CONCATENATE(S425,"-",T425)</f>
        <v>08-Infraestructura física, mantenimiento y dotación (Sedes construidas, mantenidas reforzadas)</v>
      </c>
      <c r="V425" s="51" t="s">
        <v>236</v>
      </c>
      <c r="W425" s="248" t="str">
        <f>IFERROR(VLOOKUP(V425,TD!$N$34:$O$46,2,0)," ")</f>
        <v>Estaciones de bomberos adecuadas</v>
      </c>
      <c r="X425" s="249" t="str">
        <f>CONCATENATE(V425,"_",W425)</f>
        <v>014_Estaciones de bomberos adecuadas</v>
      </c>
      <c r="Y425" s="249" t="str">
        <f>CONCATENATE(U425," ",X425)</f>
        <v>08-Infraestructura física, mantenimiento y dotación (Sedes construidas, mantenidas reforzadas) 014_Estaciones de bomberos adecuadas</v>
      </c>
      <c r="Z425" s="248" t="str">
        <f>CONCATENATE(P425,Q425,R425,S425,V425)</f>
        <v>O23011745032024025508014</v>
      </c>
      <c r="AA425" s="248" t="str">
        <f>IFERROR(VLOOKUP(Y425,TD!$K$47:$L$65,2,0)," ")</f>
        <v>PM/0131/0108/45030140255</v>
      </c>
      <c r="AB425" s="53" t="s">
        <v>138</v>
      </c>
      <c r="AC425" s="250" t="s">
        <v>204</v>
      </c>
    </row>
    <row r="426" spans="2:29" s="28" customFormat="1" ht="56" x14ac:dyDescent="0.35">
      <c r="B426" s="127">
        <v>20250462</v>
      </c>
      <c r="C426" s="129" t="s">
        <v>208</v>
      </c>
      <c r="D426" s="251" t="s">
        <v>166</v>
      </c>
      <c r="E426" s="252" t="s">
        <v>558</v>
      </c>
      <c r="F426" s="251" t="s">
        <v>572</v>
      </c>
      <c r="G426" s="251" t="s">
        <v>155</v>
      </c>
      <c r="H426" s="130" t="s">
        <v>606</v>
      </c>
      <c r="I426" s="253">
        <v>2</v>
      </c>
      <c r="J426" s="253">
        <v>11</v>
      </c>
      <c r="K426" s="126">
        <v>0</v>
      </c>
      <c r="L426" s="125">
        <v>66356829</v>
      </c>
      <c r="M426" s="251" t="s">
        <v>464</v>
      </c>
      <c r="N426" s="125" t="s">
        <v>607</v>
      </c>
      <c r="O426" s="252" t="s">
        <v>218</v>
      </c>
      <c r="P426" s="254" t="str">
        <f>IFERROR(VLOOKUP(C426,TD!$B$33:$F$37,2,0)," ")</f>
        <v>O230117</v>
      </c>
      <c r="Q426" s="254" t="str">
        <f>IFERROR(VLOOKUP(C426,TD!$B$33:$F$37,3,0)," ")</f>
        <v>4599</v>
      </c>
      <c r="R426" s="254">
        <f>IFERROR(VLOOKUP(C426,TD!$B$33:$F$37,4,0)," ")</f>
        <v>20240207</v>
      </c>
      <c r="S426" s="252" t="s">
        <v>185</v>
      </c>
      <c r="T426" s="254" t="str">
        <f>IFERROR(VLOOKUP(S426,TD!$J$34:$K$44,2,0)," ")</f>
        <v>Infraestructura física, mantenimiento y dotación (Sedes construidas, mantenidas reforzadas)</v>
      </c>
      <c r="U426" s="249" t="str">
        <f>CONCATENATE(S426,"-",T426)</f>
        <v>08-Infraestructura física, mantenimiento y dotación (Sedes construidas, mantenidas reforzadas)</v>
      </c>
      <c r="V426" s="252" t="s">
        <v>238</v>
      </c>
      <c r="W426" s="254" t="str">
        <f>IFERROR(VLOOKUP(V426,TD!$N$34:$O$46,2,0)," ")</f>
        <v>Sedes mantenidas</v>
      </c>
      <c r="X426" s="249" t="str">
        <f>CONCATENATE(V426,"_",W426)</f>
        <v>016_Sedes mantenidas</v>
      </c>
      <c r="Y426" s="249" t="str">
        <f>CONCATENATE(U426," ",X426)</f>
        <v>08-Infraestructura física, mantenimiento y dotación (Sedes construidas, mantenidas reforzadas) 016_Sedes mantenidas</v>
      </c>
      <c r="Z426" s="254" t="str">
        <f>CONCATENATE(P426,Q426,R426,S426,V426)</f>
        <v>O23011745992024020708016</v>
      </c>
      <c r="AA426" s="254" t="str">
        <f>IFERROR(VLOOKUP(Y426,TD!$K$47:$L$65,2,0)," ")</f>
        <v>PM/0131/0108/45990160207</v>
      </c>
      <c r="AB426" s="125" t="s">
        <v>138</v>
      </c>
      <c r="AC426" s="255" t="s">
        <v>204</v>
      </c>
    </row>
    <row r="427" spans="2:29" s="28" customFormat="1" ht="56" x14ac:dyDescent="0.35">
      <c r="B427" s="127">
        <v>20250463</v>
      </c>
      <c r="C427" s="129" t="s">
        <v>208</v>
      </c>
      <c r="D427" s="251" t="s">
        <v>166</v>
      </c>
      <c r="E427" s="252" t="s">
        <v>558</v>
      </c>
      <c r="F427" s="251" t="s">
        <v>614</v>
      </c>
      <c r="G427" s="251" t="s">
        <v>155</v>
      </c>
      <c r="H427" s="130" t="s">
        <v>606</v>
      </c>
      <c r="I427" s="253">
        <v>2</v>
      </c>
      <c r="J427" s="253">
        <v>11</v>
      </c>
      <c r="K427" s="126">
        <v>0</v>
      </c>
      <c r="L427" s="125">
        <v>81000000</v>
      </c>
      <c r="M427" s="251" t="s">
        <v>464</v>
      </c>
      <c r="N427" s="125" t="s">
        <v>607</v>
      </c>
      <c r="O427" s="252" t="s">
        <v>218</v>
      </c>
      <c r="P427" s="254" t="str">
        <f>IFERROR(VLOOKUP(C427,TD!$B$33:$F$37,2,0)," ")</f>
        <v>O230117</v>
      </c>
      <c r="Q427" s="254" t="str">
        <f>IFERROR(VLOOKUP(C427,TD!$B$33:$F$37,3,0)," ")</f>
        <v>4599</v>
      </c>
      <c r="R427" s="254">
        <f>IFERROR(VLOOKUP(C427,TD!$B$33:$F$37,4,0)," ")</f>
        <v>20240207</v>
      </c>
      <c r="S427" s="252" t="s">
        <v>185</v>
      </c>
      <c r="T427" s="254" t="str">
        <f>IFERROR(VLOOKUP(S427,TD!$J$34:$K$44,2,0)," ")</f>
        <v>Infraestructura física, mantenimiento y dotación (Sedes construidas, mantenidas reforzadas)</v>
      </c>
      <c r="U427" s="249" t="str">
        <f>CONCATENATE(S427,"-",T427)</f>
        <v>08-Infraestructura física, mantenimiento y dotación (Sedes construidas, mantenidas reforzadas)</v>
      </c>
      <c r="V427" s="252" t="s">
        <v>238</v>
      </c>
      <c r="W427" s="254" t="str">
        <f>IFERROR(VLOOKUP(V427,TD!$N$34:$O$46,2,0)," ")</f>
        <v>Sedes mantenidas</v>
      </c>
      <c r="X427" s="249" t="str">
        <f>CONCATENATE(V427,"_",W427)</f>
        <v>016_Sedes mantenidas</v>
      </c>
      <c r="Y427" s="249" t="str">
        <f>CONCATENATE(U427," ",X427)</f>
        <v>08-Infraestructura física, mantenimiento y dotación (Sedes construidas, mantenidas reforzadas) 016_Sedes mantenidas</v>
      </c>
      <c r="Z427" s="254" t="str">
        <f>CONCATENATE(P427,Q427,R427,S427,V427)</f>
        <v>O23011745992024020708016</v>
      </c>
      <c r="AA427" s="254" t="str">
        <f>IFERROR(VLOOKUP(Y427,TD!$K$47:$L$65,2,0)," ")</f>
        <v>PM/0131/0108/45990160207</v>
      </c>
      <c r="AB427" s="125" t="s">
        <v>138</v>
      </c>
      <c r="AC427" s="255" t="s">
        <v>204</v>
      </c>
    </row>
    <row r="428" spans="2:29" s="28" customFormat="1" ht="56" x14ac:dyDescent="0.35">
      <c r="B428" s="127">
        <v>20250464</v>
      </c>
      <c r="C428" s="129" t="s">
        <v>208</v>
      </c>
      <c r="D428" s="251" t="s">
        <v>166</v>
      </c>
      <c r="E428" s="252" t="s">
        <v>558</v>
      </c>
      <c r="F428" s="251" t="s">
        <v>573</v>
      </c>
      <c r="G428" s="251" t="s">
        <v>155</v>
      </c>
      <c r="H428" s="130" t="s">
        <v>606</v>
      </c>
      <c r="I428" s="253">
        <v>2</v>
      </c>
      <c r="J428" s="253">
        <v>11</v>
      </c>
      <c r="K428" s="126">
        <v>0</v>
      </c>
      <c r="L428" s="125">
        <v>83482560</v>
      </c>
      <c r="M428" s="251" t="s">
        <v>464</v>
      </c>
      <c r="N428" s="125" t="s">
        <v>607</v>
      </c>
      <c r="O428" s="252" t="s">
        <v>218</v>
      </c>
      <c r="P428" s="254" t="str">
        <f>IFERROR(VLOOKUP(C428,TD!$B$33:$F$37,2,0)," ")</f>
        <v>O230117</v>
      </c>
      <c r="Q428" s="254" t="str">
        <f>IFERROR(VLOOKUP(C428,TD!$B$33:$F$37,3,0)," ")</f>
        <v>4599</v>
      </c>
      <c r="R428" s="254">
        <f>IFERROR(VLOOKUP(C428,TD!$B$33:$F$37,4,0)," ")</f>
        <v>20240207</v>
      </c>
      <c r="S428" s="252" t="s">
        <v>185</v>
      </c>
      <c r="T428" s="254" t="str">
        <f>IFERROR(VLOOKUP(S428,TD!$J$34:$K$44,2,0)," ")</f>
        <v>Infraestructura física, mantenimiento y dotación (Sedes construidas, mantenidas reforzadas)</v>
      </c>
      <c r="U428" s="249" t="str">
        <f>CONCATENATE(S428,"-",T428)</f>
        <v>08-Infraestructura física, mantenimiento y dotación (Sedes construidas, mantenidas reforzadas)</v>
      </c>
      <c r="V428" s="252" t="s">
        <v>238</v>
      </c>
      <c r="W428" s="254" t="str">
        <f>IFERROR(VLOOKUP(V428,TD!$N$34:$O$46,2,0)," ")</f>
        <v>Sedes mantenidas</v>
      </c>
      <c r="X428" s="249" t="str">
        <f>CONCATENATE(V428,"_",W428)</f>
        <v>016_Sedes mantenidas</v>
      </c>
      <c r="Y428" s="249" t="str">
        <f>CONCATENATE(U428," ",X428)</f>
        <v>08-Infraestructura física, mantenimiento y dotación (Sedes construidas, mantenidas reforzadas) 016_Sedes mantenidas</v>
      </c>
      <c r="Z428" s="254" t="str">
        <f>CONCATENATE(P428,Q428,R428,S428,V428)</f>
        <v>O23011745992024020708016</v>
      </c>
      <c r="AA428" s="254" t="str">
        <f>IFERROR(VLOOKUP(Y428,TD!$K$47:$L$65,2,0)," ")</f>
        <v>PM/0131/0108/45990160207</v>
      </c>
      <c r="AB428" s="125" t="s">
        <v>138</v>
      </c>
      <c r="AC428" s="255" t="s">
        <v>204</v>
      </c>
    </row>
    <row r="429" spans="2:29" s="28" customFormat="1" ht="56" x14ac:dyDescent="0.35">
      <c r="B429" s="77">
        <v>20250465</v>
      </c>
      <c r="C429" s="50" t="s">
        <v>209</v>
      </c>
      <c r="D429" s="246" t="s">
        <v>166</v>
      </c>
      <c r="E429" s="51" t="s">
        <v>558</v>
      </c>
      <c r="F429" s="246" t="s">
        <v>716</v>
      </c>
      <c r="G429" s="246" t="s">
        <v>155</v>
      </c>
      <c r="H429" s="93" t="s">
        <v>606</v>
      </c>
      <c r="I429" s="247">
        <v>2</v>
      </c>
      <c r="J429" s="247">
        <v>11</v>
      </c>
      <c r="K429" s="52">
        <v>0</v>
      </c>
      <c r="L429" s="53">
        <v>66356829</v>
      </c>
      <c r="M429" s="246" t="s">
        <v>464</v>
      </c>
      <c r="N429" s="53" t="s">
        <v>607</v>
      </c>
      <c r="O429" s="51" t="s">
        <v>227</v>
      </c>
      <c r="P429" s="248" t="str">
        <f>IFERROR(VLOOKUP(C429,TD!$B$33:$F$37,2,0)," ")</f>
        <v>O230117</v>
      </c>
      <c r="Q429" s="248" t="str">
        <f>IFERROR(VLOOKUP(C429,TD!$B$33:$F$37,3,0)," ")</f>
        <v>4503</v>
      </c>
      <c r="R429" s="248">
        <f>IFERROR(VLOOKUP(C429,TD!$B$33:$F$37,4,0)," ")</f>
        <v>20240255</v>
      </c>
      <c r="S429" s="51" t="s">
        <v>185</v>
      </c>
      <c r="T429" s="248" t="str">
        <f>IFERROR(VLOOKUP(S429,TD!$J$34:$K$44,2,0)," ")</f>
        <v>Infraestructura física, mantenimiento y dotación (Sedes construidas, mantenidas reforzadas)</v>
      </c>
      <c r="U429" s="249" t="str">
        <f>CONCATENATE(S429,"-",T429)</f>
        <v>08-Infraestructura física, mantenimiento y dotación (Sedes construidas, mantenidas reforzadas)</v>
      </c>
      <c r="V429" s="51" t="s">
        <v>236</v>
      </c>
      <c r="W429" s="248" t="str">
        <f>IFERROR(VLOOKUP(V429,TD!$N$34:$O$46,2,0)," ")</f>
        <v>Estaciones de bomberos adecuadas</v>
      </c>
      <c r="X429" s="249" t="str">
        <f>CONCATENATE(V429,"_",W429)</f>
        <v>014_Estaciones de bomberos adecuadas</v>
      </c>
      <c r="Y429" s="249" t="str">
        <f>CONCATENATE(U429," ",X429)</f>
        <v>08-Infraestructura física, mantenimiento y dotación (Sedes construidas, mantenidas reforzadas) 014_Estaciones de bomberos adecuadas</v>
      </c>
      <c r="Z429" s="248" t="str">
        <f>CONCATENATE(P429,Q429,R429,S429,V429)</f>
        <v>O23011745032024025508014</v>
      </c>
      <c r="AA429" s="248" t="str">
        <f>IFERROR(VLOOKUP(Y429,TD!$K$47:$L$65,2,0)," ")</f>
        <v>PM/0131/0108/45030140255</v>
      </c>
      <c r="AB429" s="53" t="s">
        <v>120</v>
      </c>
      <c r="AC429" s="250" t="s">
        <v>204</v>
      </c>
    </row>
    <row r="430" spans="2:29" s="28" customFormat="1" ht="70" x14ac:dyDescent="0.35">
      <c r="B430" s="127">
        <v>20250466</v>
      </c>
      <c r="C430" s="129" t="s">
        <v>208</v>
      </c>
      <c r="D430" s="251" t="s">
        <v>166</v>
      </c>
      <c r="E430" s="252" t="s">
        <v>558</v>
      </c>
      <c r="F430" s="251" t="s">
        <v>574</v>
      </c>
      <c r="G430" s="251" t="s">
        <v>155</v>
      </c>
      <c r="H430" s="130" t="s">
        <v>606</v>
      </c>
      <c r="I430" s="253">
        <v>2</v>
      </c>
      <c r="J430" s="253">
        <v>11</v>
      </c>
      <c r="K430" s="126">
        <v>0</v>
      </c>
      <c r="L430" s="125">
        <v>61530876</v>
      </c>
      <c r="M430" s="251" t="s">
        <v>464</v>
      </c>
      <c r="N430" s="125" t="s">
        <v>607</v>
      </c>
      <c r="O430" s="252" t="s">
        <v>218</v>
      </c>
      <c r="P430" s="254" t="str">
        <f>IFERROR(VLOOKUP(C430,TD!$B$33:$F$37,2,0)," ")</f>
        <v>O230117</v>
      </c>
      <c r="Q430" s="254" t="str">
        <f>IFERROR(VLOOKUP(C430,TD!$B$33:$F$37,3,0)," ")</f>
        <v>4599</v>
      </c>
      <c r="R430" s="254">
        <f>IFERROR(VLOOKUP(C430,TD!$B$33:$F$37,4,0)," ")</f>
        <v>20240207</v>
      </c>
      <c r="S430" s="252" t="s">
        <v>185</v>
      </c>
      <c r="T430" s="254" t="str">
        <f>IFERROR(VLOOKUP(S430,TD!$J$34:$K$44,2,0)," ")</f>
        <v>Infraestructura física, mantenimiento y dotación (Sedes construidas, mantenidas reforzadas)</v>
      </c>
      <c r="U430" s="249" t="str">
        <f>CONCATENATE(S430,"-",T430)</f>
        <v>08-Infraestructura física, mantenimiento y dotación (Sedes construidas, mantenidas reforzadas)</v>
      </c>
      <c r="V430" s="252" t="s">
        <v>238</v>
      </c>
      <c r="W430" s="254" t="str">
        <f>IFERROR(VLOOKUP(V430,TD!$N$34:$O$46,2,0)," ")</f>
        <v>Sedes mantenidas</v>
      </c>
      <c r="X430" s="249" t="str">
        <f>CONCATENATE(V430,"_",W430)</f>
        <v>016_Sedes mantenidas</v>
      </c>
      <c r="Y430" s="249" t="str">
        <f>CONCATENATE(U430," ",X430)</f>
        <v>08-Infraestructura física, mantenimiento y dotación (Sedes construidas, mantenidas reforzadas) 016_Sedes mantenidas</v>
      </c>
      <c r="Z430" s="254" t="str">
        <f>CONCATENATE(P430,Q430,R430,S430,V430)</f>
        <v>O23011745992024020708016</v>
      </c>
      <c r="AA430" s="254" t="str">
        <f>IFERROR(VLOOKUP(Y430,TD!$K$47:$L$65,2,0)," ")</f>
        <v>PM/0131/0108/45990160207</v>
      </c>
      <c r="AB430" s="125" t="s">
        <v>138</v>
      </c>
      <c r="AC430" s="255" t="s">
        <v>204</v>
      </c>
    </row>
    <row r="431" spans="2:29" s="28" customFormat="1" ht="70" x14ac:dyDescent="0.35">
      <c r="B431" s="77">
        <v>20250468</v>
      </c>
      <c r="C431" s="50" t="s">
        <v>208</v>
      </c>
      <c r="D431" s="246" t="s">
        <v>166</v>
      </c>
      <c r="E431" s="51" t="s">
        <v>558</v>
      </c>
      <c r="F431" s="246" t="s">
        <v>589</v>
      </c>
      <c r="G431" s="246" t="s">
        <v>155</v>
      </c>
      <c r="H431" s="93" t="s">
        <v>606</v>
      </c>
      <c r="I431" s="247">
        <v>2</v>
      </c>
      <c r="J431" s="247">
        <v>11</v>
      </c>
      <c r="K431" s="52">
        <v>0</v>
      </c>
      <c r="L431" s="53">
        <v>61530876</v>
      </c>
      <c r="M431" s="246" t="s">
        <v>464</v>
      </c>
      <c r="N431" s="53" t="s">
        <v>607</v>
      </c>
      <c r="O431" s="51" t="s">
        <v>218</v>
      </c>
      <c r="P431" s="248" t="str">
        <f>IFERROR(VLOOKUP(C431,TD!$B$33:$F$37,2,0)," ")</f>
        <v>O230117</v>
      </c>
      <c r="Q431" s="248" t="str">
        <f>IFERROR(VLOOKUP(C431,TD!$B$33:$F$37,3,0)," ")</f>
        <v>4599</v>
      </c>
      <c r="R431" s="248">
        <f>IFERROR(VLOOKUP(C431,TD!$B$33:$F$37,4,0)," ")</f>
        <v>20240207</v>
      </c>
      <c r="S431" s="51" t="s">
        <v>185</v>
      </c>
      <c r="T431" s="248" t="str">
        <f>IFERROR(VLOOKUP(S431,TD!$J$34:$K$44,2,0)," ")</f>
        <v>Infraestructura física, mantenimiento y dotación (Sedes construidas, mantenidas reforzadas)</v>
      </c>
      <c r="U431" s="249" t="str">
        <f>CONCATENATE(S431,"-",T431)</f>
        <v>08-Infraestructura física, mantenimiento y dotación (Sedes construidas, mantenidas reforzadas)</v>
      </c>
      <c r="V431" s="51" t="s">
        <v>238</v>
      </c>
      <c r="W431" s="248" t="str">
        <f>IFERROR(VLOOKUP(V431,TD!$N$34:$O$46,2,0)," ")</f>
        <v>Sedes mantenidas</v>
      </c>
      <c r="X431" s="249" t="str">
        <f>CONCATENATE(V431,"_",W431)</f>
        <v>016_Sedes mantenidas</v>
      </c>
      <c r="Y431" s="249" t="str">
        <f>CONCATENATE(U431," ",X431)</f>
        <v>08-Infraestructura física, mantenimiento y dotación (Sedes construidas, mantenidas reforzadas) 016_Sedes mantenidas</v>
      </c>
      <c r="Z431" s="248" t="str">
        <f>CONCATENATE(P431,Q431,R431,S431,V431)</f>
        <v>O23011745992024020708016</v>
      </c>
      <c r="AA431" s="248" t="str">
        <f>IFERROR(VLOOKUP(Y431,TD!$K$47:$L$65,2,0)," ")</f>
        <v>PM/0131/0108/45990160207</v>
      </c>
      <c r="AB431" s="53" t="s">
        <v>138</v>
      </c>
      <c r="AC431" s="250" t="s">
        <v>204</v>
      </c>
    </row>
    <row r="432" spans="2:29" s="28" customFormat="1" ht="70" x14ac:dyDescent="0.35">
      <c r="B432" s="77">
        <v>20250469</v>
      </c>
      <c r="C432" s="50" t="s">
        <v>208</v>
      </c>
      <c r="D432" s="246" t="s">
        <v>166</v>
      </c>
      <c r="E432" s="51" t="s">
        <v>558</v>
      </c>
      <c r="F432" s="246" t="s">
        <v>724</v>
      </c>
      <c r="G432" s="246" t="s">
        <v>155</v>
      </c>
      <c r="H432" s="93" t="s">
        <v>606</v>
      </c>
      <c r="I432" s="247">
        <v>2</v>
      </c>
      <c r="J432" s="247">
        <v>11</v>
      </c>
      <c r="K432" s="52">
        <v>0</v>
      </c>
      <c r="L432" s="53">
        <v>83482560</v>
      </c>
      <c r="M432" s="246" t="s">
        <v>464</v>
      </c>
      <c r="N432" s="53" t="s">
        <v>607</v>
      </c>
      <c r="O432" s="51" t="s">
        <v>218</v>
      </c>
      <c r="P432" s="248" t="str">
        <f>IFERROR(VLOOKUP(C432,TD!$B$33:$F$37,2,0)," ")</f>
        <v>O230117</v>
      </c>
      <c r="Q432" s="248" t="str">
        <f>IFERROR(VLOOKUP(C432,TD!$B$33:$F$37,3,0)," ")</f>
        <v>4599</v>
      </c>
      <c r="R432" s="248">
        <f>IFERROR(VLOOKUP(C432,TD!$B$33:$F$37,4,0)," ")</f>
        <v>20240207</v>
      </c>
      <c r="S432" s="51" t="s">
        <v>185</v>
      </c>
      <c r="T432" s="248" t="str">
        <f>IFERROR(VLOOKUP(S432,TD!$J$34:$K$44,2,0)," ")</f>
        <v>Infraestructura física, mantenimiento y dotación (Sedes construidas, mantenidas reforzadas)</v>
      </c>
      <c r="U432" s="249" t="str">
        <f>CONCATENATE(S432,"-",T432)</f>
        <v>08-Infraestructura física, mantenimiento y dotación (Sedes construidas, mantenidas reforzadas)</v>
      </c>
      <c r="V432" s="51" t="s">
        <v>238</v>
      </c>
      <c r="W432" s="248" t="str">
        <f>IFERROR(VLOOKUP(V432,TD!$N$34:$O$46,2,0)," ")</f>
        <v>Sedes mantenidas</v>
      </c>
      <c r="X432" s="249" t="str">
        <f>CONCATENATE(V432,"_",W432)</f>
        <v>016_Sedes mantenidas</v>
      </c>
      <c r="Y432" s="249" t="str">
        <f>CONCATENATE(U432," ",X432)</f>
        <v>08-Infraestructura física, mantenimiento y dotación (Sedes construidas, mantenidas reforzadas) 016_Sedes mantenidas</v>
      </c>
      <c r="Z432" s="248" t="str">
        <f>CONCATENATE(P432,Q432,R432,S432,V432)</f>
        <v>O23011745992024020708016</v>
      </c>
      <c r="AA432" s="248" t="str">
        <f>IFERROR(VLOOKUP(Y432,TD!$K$47:$L$65,2,0)," ")</f>
        <v>PM/0131/0108/45990160207</v>
      </c>
      <c r="AB432" s="53" t="s">
        <v>120</v>
      </c>
      <c r="AC432" s="250" t="s">
        <v>204</v>
      </c>
    </row>
    <row r="433" spans="2:29" s="28" customFormat="1" ht="56" x14ac:dyDescent="0.35">
      <c r="B433" s="77">
        <v>20250470</v>
      </c>
      <c r="C433" s="50" t="s">
        <v>208</v>
      </c>
      <c r="D433" s="246" t="s">
        <v>166</v>
      </c>
      <c r="E433" s="51" t="s">
        <v>558</v>
      </c>
      <c r="F433" s="246" t="s">
        <v>613</v>
      </c>
      <c r="G433" s="246" t="s">
        <v>155</v>
      </c>
      <c r="H433" s="93" t="s">
        <v>606</v>
      </c>
      <c r="I433" s="247">
        <v>2</v>
      </c>
      <c r="J433" s="247">
        <v>11</v>
      </c>
      <c r="K433" s="52">
        <v>0</v>
      </c>
      <c r="L433" s="53">
        <v>66356829</v>
      </c>
      <c r="M433" s="246" t="s">
        <v>464</v>
      </c>
      <c r="N433" s="53" t="s">
        <v>607</v>
      </c>
      <c r="O433" s="51" t="s">
        <v>218</v>
      </c>
      <c r="P433" s="248" t="str">
        <f>IFERROR(VLOOKUP(C433,TD!$B$33:$F$37,2,0)," ")</f>
        <v>O230117</v>
      </c>
      <c r="Q433" s="248" t="str">
        <f>IFERROR(VLOOKUP(C433,TD!$B$33:$F$37,3,0)," ")</f>
        <v>4599</v>
      </c>
      <c r="R433" s="248">
        <f>IFERROR(VLOOKUP(C433,TD!$B$33:$F$37,4,0)," ")</f>
        <v>20240207</v>
      </c>
      <c r="S433" s="51" t="s">
        <v>185</v>
      </c>
      <c r="T433" s="248" t="str">
        <f>IFERROR(VLOOKUP(S433,TD!$J$34:$K$44,2,0)," ")</f>
        <v>Infraestructura física, mantenimiento y dotación (Sedes construidas, mantenidas reforzadas)</v>
      </c>
      <c r="U433" s="249" t="str">
        <f>CONCATENATE(S433,"-",T433)</f>
        <v>08-Infraestructura física, mantenimiento y dotación (Sedes construidas, mantenidas reforzadas)</v>
      </c>
      <c r="V433" s="51" t="s">
        <v>238</v>
      </c>
      <c r="W433" s="248" t="str">
        <f>IFERROR(VLOOKUP(V433,TD!$N$34:$O$46,2,0)," ")</f>
        <v>Sedes mantenidas</v>
      </c>
      <c r="X433" s="249" t="str">
        <f>CONCATENATE(V433,"_",W433)</f>
        <v>016_Sedes mantenidas</v>
      </c>
      <c r="Y433" s="249" t="str">
        <f>CONCATENATE(U433," ",X433)</f>
        <v>08-Infraestructura física, mantenimiento y dotación (Sedes construidas, mantenidas reforzadas) 016_Sedes mantenidas</v>
      </c>
      <c r="Z433" s="248" t="str">
        <f>CONCATENATE(P433,Q433,R433,S433,V433)</f>
        <v>O23011745992024020708016</v>
      </c>
      <c r="AA433" s="248" t="str">
        <f>IFERROR(VLOOKUP(Y433,TD!$K$47:$L$65,2,0)," ")</f>
        <v>PM/0131/0108/45990160207</v>
      </c>
      <c r="AB433" s="53" t="s">
        <v>138</v>
      </c>
      <c r="AC433" s="250" t="s">
        <v>204</v>
      </c>
    </row>
    <row r="434" spans="2:29" s="28" customFormat="1" ht="70" x14ac:dyDescent="0.35">
      <c r="B434" s="77">
        <v>20250471</v>
      </c>
      <c r="C434" s="50" t="s">
        <v>208</v>
      </c>
      <c r="D434" s="246" t="s">
        <v>166</v>
      </c>
      <c r="E434" s="51" t="s">
        <v>558</v>
      </c>
      <c r="F434" s="246" t="s">
        <v>577</v>
      </c>
      <c r="G434" s="246" t="s">
        <v>155</v>
      </c>
      <c r="H434" s="93" t="s">
        <v>606</v>
      </c>
      <c r="I434" s="247">
        <v>2</v>
      </c>
      <c r="J434" s="247">
        <v>11</v>
      </c>
      <c r="K434" s="52">
        <v>0</v>
      </c>
      <c r="L434" s="53">
        <v>46449783</v>
      </c>
      <c r="M434" s="246" t="s">
        <v>464</v>
      </c>
      <c r="N434" s="53" t="s">
        <v>607</v>
      </c>
      <c r="O434" s="51" t="s">
        <v>218</v>
      </c>
      <c r="P434" s="248" t="str">
        <f>IFERROR(VLOOKUP(C434,TD!$B$33:$F$37,2,0)," ")</f>
        <v>O230117</v>
      </c>
      <c r="Q434" s="248" t="str">
        <f>IFERROR(VLOOKUP(C434,TD!$B$33:$F$37,3,0)," ")</f>
        <v>4599</v>
      </c>
      <c r="R434" s="248">
        <f>IFERROR(VLOOKUP(C434,TD!$B$33:$F$37,4,0)," ")</f>
        <v>20240207</v>
      </c>
      <c r="S434" s="51" t="s">
        <v>185</v>
      </c>
      <c r="T434" s="248" t="str">
        <f>IFERROR(VLOOKUP(S434,TD!$J$34:$K$44,2,0)," ")</f>
        <v>Infraestructura física, mantenimiento y dotación (Sedes construidas, mantenidas reforzadas)</v>
      </c>
      <c r="U434" s="249" t="str">
        <f>CONCATENATE(S434,"-",T434)</f>
        <v>08-Infraestructura física, mantenimiento y dotación (Sedes construidas, mantenidas reforzadas)</v>
      </c>
      <c r="V434" s="51" t="s">
        <v>238</v>
      </c>
      <c r="W434" s="248" t="str">
        <f>IFERROR(VLOOKUP(V434,TD!$N$34:$O$46,2,0)," ")</f>
        <v>Sedes mantenidas</v>
      </c>
      <c r="X434" s="249" t="str">
        <f>CONCATENATE(V434,"_",W434)</f>
        <v>016_Sedes mantenidas</v>
      </c>
      <c r="Y434" s="249" t="str">
        <f>CONCATENATE(U434," ",X434)</f>
        <v>08-Infraestructura física, mantenimiento y dotación (Sedes construidas, mantenidas reforzadas) 016_Sedes mantenidas</v>
      </c>
      <c r="Z434" s="248" t="str">
        <f>CONCATENATE(P434,Q434,R434,S434,V434)</f>
        <v>O23011745992024020708016</v>
      </c>
      <c r="AA434" s="248" t="str">
        <f>IFERROR(VLOOKUP(Y434,TD!$K$47:$L$65,2,0)," ")</f>
        <v>PM/0131/0108/45990160207</v>
      </c>
      <c r="AB434" s="53" t="s">
        <v>138</v>
      </c>
      <c r="AC434" s="250" t="s">
        <v>204</v>
      </c>
    </row>
    <row r="435" spans="2:29" s="28" customFormat="1" ht="56" x14ac:dyDescent="0.35">
      <c r="B435" s="77">
        <v>20250472</v>
      </c>
      <c r="C435" s="50" t="s">
        <v>208</v>
      </c>
      <c r="D435" s="246" t="s">
        <v>166</v>
      </c>
      <c r="E435" s="51" t="s">
        <v>558</v>
      </c>
      <c r="F435" s="246" t="s">
        <v>567</v>
      </c>
      <c r="G435" s="246" t="s">
        <v>156</v>
      </c>
      <c r="H435" s="93" t="s">
        <v>606</v>
      </c>
      <c r="I435" s="247">
        <v>2</v>
      </c>
      <c r="J435" s="247">
        <v>11</v>
      </c>
      <c r="K435" s="52">
        <v>0</v>
      </c>
      <c r="L435" s="53">
        <v>31140000</v>
      </c>
      <c r="M435" s="246" t="s">
        <v>464</v>
      </c>
      <c r="N435" s="53" t="s">
        <v>607</v>
      </c>
      <c r="O435" s="51" t="s">
        <v>218</v>
      </c>
      <c r="P435" s="248" t="str">
        <f>IFERROR(VLOOKUP(C435,TD!$B$33:$F$37,2,0)," ")</f>
        <v>O230117</v>
      </c>
      <c r="Q435" s="248" t="str">
        <f>IFERROR(VLOOKUP(C435,TD!$B$33:$F$37,3,0)," ")</f>
        <v>4599</v>
      </c>
      <c r="R435" s="248">
        <f>IFERROR(VLOOKUP(C435,TD!$B$33:$F$37,4,0)," ")</f>
        <v>20240207</v>
      </c>
      <c r="S435" s="51" t="s">
        <v>185</v>
      </c>
      <c r="T435" s="248" t="str">
        <f>IFERROR(VLOOKUP(S435,TD!$J$34:$K$44,2,0)," ")</f>
        <v>Infraestructura física, mantenimiento y dotación (Sedes construidas, mantenidas reforzadas)</v>
      </c>
      <c r="U435" s="249" t="str">
        <f>CONCATENATE(S435,"-",T435)</f>
        <v>08-Infraestructura física, mantenimiento y dotación (Sedes construidas, mantenidas reforzadas)</v>
      </c>
      <c r="V435" s="51" t="s">
        <v>238</v>
      </c>
      <c r="W435" s="248" t="str">
        <f>IFERROR(VLOOKUP(V435,TD!$N$34:$O$46,2,0)," ")</f>
        <v>Sedes mantenidas</v>
      </c>
      <c r="X435" s="249" t="str">
        <f>CONCATENATE(V435,"_",W435)</f>
        <v>016_Sedes mantenidas</v>
      </c>
      <c r="Y435" s="249" t="str">
        <f>CONCATENATE(U435," ",X435)</f>
        <v>08-Infraestructura física, mantenimiento y dotación (Sedes construidas, mantenidas reforzadas) 016_Sedes mantenidas</v>
      </c>
      <c r="Z435" s="248" t="str">
        <f>CONCATENATE(P435,Q435,R435,S435,V435)</f>
        <v>O23011745992024020708016</v>
      </c>
      <c r="AA435" s="248" t="str">
        <f>IFERROR(VLOOKUP(Y435,TD!$K$47:$L$65,2,0)," ")</f>
        <v>PM/0131/0108/45990160207</v>
      </c>
      <c r="AB435" s="53" t="s">
        <v>138</v>
      </c>
      <c r="AC435" s="250" t="s">
        <v>204</v>
      </c>
    </row>
    <row r="436" spans="2:29" s="28" customFormat="1" ht="56" x14ac:dyDescent="0.35">
      <c r="B436" s="77">
        <v>20250473</v>
      </c>
      <c r="C436" s="50" t="s">
        <v>208</v>
      </c>
      <c r="D436" s="246" t="s">
        <v>166</v>
      </c>
      <c r="E436" s="51" t="s">
        <v>558</v>
      </c>
      <c r="F436" s="246" t="s">
        <v>578</v>
      </c>
      <c r="G436" s="246" t="s">
        <v>156</v>
      </c>
      <c r="H436" s="93" t="s">
        <v>606</v>
      </c>
      <c r="I436" s="247">
        <v>2</v>
      </c>
      <c r="J436" s="247">
        <v>0</v>
      </c>
      <c r="K436" s="52">
        <v>11</v>
      </c>
      <c r="L436" s="53">
        <v>29558952</v>
      </c>
      <c r="M436" s="246" t="s">
        <v>464</v>
      </c>
      <c r="N436" s="53" t="s">
        <v>607</v>
      </c>
      <c r="O436" s="51" t="s">
        <v>218</v>
      </c>
      <c r="P436" s="248" t="str">
        <f>IFERROR(VLOOKUP(C436,TD!$B$33:$F$37,2,0)," ")</f>
        <v>O230117</v>
      </c>
      <c r="Q436" s="248" t="str">
        <f>IFERROR(VLOOKUP(C436,TD!$B$33:$F$37,3,0)," ")</f>
        <v>4599</v>
      </c>
      <c r="R436" s="248">
        <f>IFERROR(VLOOKUP(C436,TD!$B$33:$F$37,4,0)," ")</f>
        <v>20240207</v>
      </c>
      <c r="S436" s="51" t="s">
        <v>185</v>
      </c>
      <c r="T436" s="248" t="str">
        <f>IFERROR(VLOOKUP(S436,TD!$J$34:$K$44,2,0)," ")</f>
        <v>Infraestructura física, mantenimiento y dotación (Sedes construidas, mantenidas reforzadas)</v>
      </c>
      <c r="U436" s="249" t="str">
        <f>CONCATENATE(S436,"-",T436)</f>
        <v>08-Infraestructura física, mantenimiento y dotación (Sedes construidas, mantenidas reforzadas)</v>
      </c>
      <c r="V436" s="51" t="s">
        <v>238</v>
      </c>
      <c r="W436" s="248" t="str">
        <f>IFERROR(VLOOKUP(V436,TD!$N$34:$O$46,2,0)," ")</f>
        <v>Sedes mantenidas</v>
      </c>
      <c r="X436" s="249" t="str">
        <f>CONCATENATE(V436,"_",W436)</f>
        <v>016_Sedes mantenidas</v>
      </c>
      <c r="Y436" s="249" t="str">
        <f>CONCATENATE(U436," ",X436)</f>
        <v>08-Infraestructura física, mantenimiento y dotación (Sedes construidas, mantenidas reforzadas) 016_Sedes mantenidas</v>
      </c>
      <c r="Z436" s="248" t="str">
        <f>CONCATENATE(P436,Q436,R436,S436,V436)</f>
        <v>O23011745992024020708016</v>
      </c>
      <c r="AA436" s="248" t="str">
        <f>IFERROR(VLOOKUP(Y436,TD!$K$47:$L$65,2,0)," ")</f>
        <v>PM/0131/0108/45990160207</v>
      </c>
      <c r="AB436" s="53" t="s">
        <v>138</v>
      </c>
      <c r="AC436" s="250" t="s">
        <v>204</v>
      </c>
    </row>
    <row r="437" spans="2:29" s="28" customFormat="1" ht="56" x14ac:dyDescent="0.35">
      <c r="B437" s="77">
        <v>20250474</v>
      </c>
      <c r="C437" s="50" t="s">
        <v>208</v>
      </c>
      <c r="D437" s="246" t="s">
        <v>166</v>
      </c>
      <c r="E437" s="51" t="s">
        <v>558</v>
      </c>
      <c r="F437" s="246" t="s">
        <v>578</v>
      </c>
      <c r="G437" s="246" t="s">
        <v>156</v>
      </c>
      <c r="H437" s="93" t="s">
        <v>606</v>
      </c>
      <c r="I437" s="247">
        <v>2</v>
      </c>
      <c r="J437" s="247">
        <v>11</v>
      </c>
      <c r="K437" s="52">
        <v>0</v>
      </c>
      <c r="L437" s="53">
        <v>29558952</v>
      </c>
      <c r="M437" s="246" t="s">
        <v>464</v>
      </c>
      <c r="N437" s="53" t="s">
        <v>607</v>
      </c>
      <c r="O437" s="51" t="s">
        <v>218</v>
      </c>
      <c r="P437" s="248" t="str">
        <f>IFERROR(VLOOKUP(C437,TD!$B$33:$F$37,2,0)," ")</f>
        <v>O230117</v>
      </c>
      <c r="Q437" s="248" t="str">
        <f>IFERROR(VLOOKUP(C437,TD!$B$33:$F$37,3,0)," ")</f>
        <v>4599</v>
      </c>
      <c r="R437" s="248">
        <f>IFERROR(VLOOKUP(C437,TD!$B$33:$F$37,4,0)," ")</f>
        <v>20240207</v>
      </c>
      <c r="S437" s="51" t="s">
        <v>185</v>
      </c>
      <c r="T437" s="248" t="str">
        <f>IFERROR(VLOOKUP(S437,TD!$J$34:$K$44,2,0)," ")</f>
        <v>Infraestructura física, mantenimiento y dotación (Sedes construidas, mantenidas reforzadas)</v>
      </c>
      <c r="U437" s="249" t="str">
        <f>CONCATENATE(S437,"-",T437)</f>
        <v>08-Infraestructura física, mantenimiento y dotación (Sedes construidas, mantenidas reforzadas)</v>
      </c>
      <c r="V437" s="51" t="s">
        <v>238</v>
      </c>
      <c r="W437" s="248" t="str">
        <f>IFERROR(VLOOKUP(V437,TD!$N$34:$O$46,2,0)," ")</f>
        <v>Sedes mantenidas</v>
      </c>
      <c r="X437" s="249" t="str">
        <f>CONCATENATE(V437,"_",W437)</f>
        <v>016_Sedes mantenidas</v>
      </c>
      <c r="Y437" s="249" t="str">
        <f>CONCATENATE(U437," ",X437)</f>
        <v>08-Infraestructura física, mantenimiento y dotación (Sedes construidas, mantenidas reforzadas) 016_Sedes mantenidas</v>
      </c>
      <c r="Z437" s="248" t="str">
        <f>CONCATENATE(P437,Q437,R437,S437,V437)</f>
        <v>O23011745992024020708016</v>
      </c>
      <c r="AA437" s="248" t="str">
        <f>IFERROR(VLOOKUP(Y437,TD!$K$47:$L$65,2,0)," ")</f>
        <v>PM/0131/0108/45990160207</v>
      </c>
      <c r="AB437" s="53" t="s">
        <v>138</v>
      </c>
      <c r="AC437" s="250" t="s">
        <v>204</v>
      </c>
    </row>
    <row r="438" spans="2:29" s="28" customFormat="1" ht="56" x14ac:dyDescent="0.35">
      <c r="B438" s="77">
        <v>20250475</v>
      </c>
      <c r="C438" s="50" t="s">
        <v>208</v>
      </c>
      <c r="D438" s="246" t="s">
        <v>166</v>
      </c>
      <c r="E438" s="51" t="s">
        <v>558</v>
      </c>
      <c r="F438" s="246" t="s">
        <v>578</v>
      </c>
      <c r="G438" s="246" t="s">
        <v>156</v>
      </c>
      <c r="H438" s="93" t="s">
        <v>606</v>
      </c>
      <c r="I438" s="247">
        <v>2</v>
      </c>
      <c r="J438" s="247">
        <v>11</v>
      </c>
      <c r="K438" s="52">
        <v>0</v>
      </c>
      <c r="L438" s="53">
        <v>29558952</v>
      </c>
      <c r="M438" s="246" t="s">
        <v>464</v>
      </c>
      <c r="N438" s="53" t="s">
        <v>607</v>
      </c>
      <c r="O438" s="51" t="s">
        <v>218</v>
      </c>
      <c r="P438" s="248" t="str">
        <f>IFERROR(VLOOKUP(C438,TD!$B$33:$F$37,2,0)," ")</f>
        <v>O230117</v>
      </c>
      <c r="Q438" s="248" t="str">
        <f>IFERROR(VLOOKUP(C438,TD!$B$33:$F$37,3,0)," ")</f>
        <v>4599</v>
      </c>
      <c r="R438" s="248">
        <f>IFERROR(VLOOKUP(C438,TD!$B$33:$F$37,4,0)," ")</f>
        <v>20240207</v>
      </c>
      <c r="S438" s="51" t="s">
        <v>185</v>
      </c>
      <c r="T438" s="248" t="str">
        <f>IFERROR(VLOOKUP(S438,TD!$J$34:$K$44,2,0)," ")</f>
        <v>Infraestructura física, mantenimiento y dotación (Sedes construidas, mantenidas reforzadas)</v>
      </c>
      <c r="U438" s="249" t="str">
        <f>CONCATENATE(S438,"-",T438)</f>
        <v>08-Infraestructura física, mantenimiento y dotación (Sedes construidas, mantenidas reforzadas)</v>
      </c>
      <c r="V438" s="51" t="s">
        <v>238</v>
      </c>
      <c r="W438" s="248" t="str">
        <f>IFERROR(VLOOKUP(V438,TD!$N$34:$O$46,2,0)," ")</f>
        <v>Sedes mantenidas</v>
      </c>
      <c r="X438" s="249" t="str">
        <f>CONCATENATE(V438,"_",W438)</f>
        <v>016_Sedes mantenidas</v>
      </c>
      <c r="Y438" s="249" t="str">
        <f>CONCATENATE(U438," ",X438)</f>
        <v>08-Infraestructura física, mantenimiento y dotación (Sedes construidas, mantenidas reforzadas) 016_Sedes mantenidas</v>
      </c>
      <c r="Z438" s="248" t="str">
        <f>CONCATENATE(P438,Q438,R438,S438,V438)</f>
        <v>O23011745992024020708016</v>
      </c>
      <c r="AA438" s="248" t="str">
        <f>IFERROR(VLOOKUP(Y438,TD!$K$47:$L$65,2,0)," ")</f>
        <v>PM/0131/0108/45990160207</v>
      </c>
      <c r="AB438" s="53" t="s">
        <v>138</v>
      </c>
      <c r="AC438" s="250" t="s">
        <v>204</v>
      </c>
    </row>
    <row r="439" spans="2:29" s="28" customFormat="1" ht="84" x14ac:dyDescent="0.35">
      <c r="B439" s="77">
        <v>20250476</v>
      </c>
      <c r="C439" s="50" t="s">
        <v>208</v>
      </c>
      <c r="D439" s="246" t="s">
        <v>166</v>
      </c>
      <c r="E439" s="51" t="s">
        <v>558</v>
      </c>
      <c r="F439" s="246" t="s">
        <v>579</v>
      </c>
      <c r="G439" s="246" t="s">
        <v>155</v>
      </c>
      <c r="H439" s="93" t="s">
        <v>606</v>
      </c>
      <c r="I439" s="247">
        <v>2</v>
      </c>
      <c r="J439" s="247">
        <v>11</v>
      </c>
      <c r="K439" s="52">
        <v>0</v>
      </c>
      <c r="L439" s="53">
        <v>46449783</v>
      </c>
      <c r="M439" s="246" t="s">
        <v>464</v>
      </c>
      <c r="N439" s="53" t="s">
        <v>607</v>
      </c>
      <c r="O439" s="51" t="s">
        <v>218</v>
      </c>
      <c r="P439" s="248" t="str">
        <f>IFERROR(VLOOKUP(C439,TD!$B$33:$F$37,2,0)," ")</f>
        <v>O230117</v>
      </c>
      <c r="Q439" s="248" t="str">
        <f>IFERROR(VLOOKUP(C439,TD!$B$33:$F$37,3,0)," ")</f>
        <v>4599</v>
      </c>
      <c r="R439" s="248">
        <f>IFERROR(VLOOKUP(C439,TD!$B$33:$F$37,4,0)," ")</f>
        <v>20240207</v>
      </c>
      <c r="S439" s="51" t="s">
        <v>185</v>
      </c>
      <c r="T439" s="248" t="str">
        <f>IFERROR(VLOOKUP(S439,TD!$J$34:$K$44,2,0)," ")</f>
        <v>Infraestructura física, mantenimiento y dotación (Sedes construidas, mantenidas reforzadas)</v>
      </c>
      <c r="U439" s="249" t="str">
        <f>CONCATENATE(S439,"-",T439)</f>
        <v>08-Infraestructura física, mantenimiento y dotación (Sedes construidas, mantenidas reforzadas)</v>
      </c>
      <c r="V439" s="51" t="s">
        <v>238</v>
      </c>
      <c r="W439" s="248" t="str">
        <f>IFERROR(VLOOKUP(V439,TD!$N$34:$O$46,2,0)," ")</f>
        <v>Sedes mantenidas</v>
      </c>
      <c r="X439" s="249" t="str">
        <f>CONCATENATE(V439,"_",W439)</f>
        <v>016_Sedes mantenidas</v>
      </c>
      <c r="Y439" s="249" t="str">
        <f>CONCATENATE(U439," ",X439)</f>
        <v>08-Infraestructura física, mantenimiento y dotación (Sedes construidas, mantenidas reforzadas) 016_Sedes mantenidas</v>
      </c>
      <c r="Z439" s="248" t="str">
        <f>CONCATENATE(P439,Q439,R439,S439,V439)</f>
        <v>O23011745992024020708016</v>
      </c>
      <c r="AA439" s="248" t="str">
        <f>IFERROR(VLOOKUP(Y439,TD!$K$47:$L$65,2,0)," ")</f>
        <v>PM/0131/0108/45990160207</v>
      </c>
      <c r="AB439" s="53" t="s">
        <v>138</v>
      </c>
      <c r="AC439" s="250" t="s">
        <v>204</v>
      </c>
    </row>
    <row r="440" spans="2:29" s="28" customFormat="1" ht="28" x14ac:dyDescent="0.35">
      <c r="B440" s="127">
        <v>20250477</v>
      </c>
      <c r="C440" s="129" t="s">
        <v>208</v>
      </c>
      <c r="D440" s="251" t="s">
        <v>166</v>
      </c>
      <c r="E440" s="252" t="s">
        <v>558</v>
      </c>
      <c r="F440" s="251" t="s">
        <v>578</v>
      </c>
      <c r="G440" s="251" t="s">
        <v>156</v>
      </c>
      <c r="H440" s="130" t="s">
        <v>606</v>
      </c>
      <c r="I440" s="253">
        <v>2</v>
      </c>
      <c r="J440" s="253">
        <v>11</v>
      </c>
      <c r="K440" s="126">
        <v>0</v>
      </c>
      <c r="L440" s="125">
        <v>29558952</v>
      </c>
      <c r="M440" s="251" t="s">
        <v>464</v>
      </c>
      <c r="N440" s="125" t="s">
        <v>607</v>
      </c>
      <c r="O440" s="252" t="s">
        <v>218</v>
      </c>
      <c r="P440" s="254" t="str">
        <f>IFERROR(VLOOKUP(C440,TD!$B$33:$F$37,2,0)," ")</f>
        <v>O230117</v>
      </c>
      <c r="Q440" s="254" t="str">
        <f>IFERROR(VLOOKUP(C440,TD!$B$33:$F$37,3,0)," ")</f>
        <v>4599</v>
      </c>
      <c r="R440" s="254">
        <f>IFERROR(VLOOKUP(C440,TD!$B$33:$F$37,4,0)," ")</f>
        <v>20240207</v>
      </c>
      <c r="S440" s="252" t="s">
        <v>185</v>
      </c>
      <c r="T440" s="254" t="str">
        <f>IFERROR(VLOOKUP(S440,TD!$J$34:$K$44,2,0)," ")</f>
        <v>Infraestructura física, mantenimiento y dotación (Sedes construidas, mantenidas reforzadas)</v>
      </c>
      <c r="U440" s="249" t="str">
        <f>CONCATENATE(S440,"-",T440)</f>
        <v>08-Infraestructura física, mantenimiento y dotación (Sedes construidas, mantenidas reforzadas)</v>
      </c>
      <c r="V440" s="252" t="s">
        <v>238</v>
      </c>
      <c r="W440" s="254" t="str">
        <f>IFERROR(VLOOKUP(V440,TD!$N$34:$O$46,2,0)," ")</f>
        <v>Sedes mantenidas</v>
      </c>
      <c r="X440" s="249" t="str">
        <f>CONCATENATE(V440,"_",W440)</f>
        <v>016_Sedes mantenidas</v>
      </c>
      <c r="Y440" s="249" t="str">
        <f>CONCATENATE(U440," ",X440)</f>
        <v>08-Infraestructura física, mantenimiento y dotación (Sedes construidas, mantenidas reforzadas) 016_Sedes mantenidas</v>
      </c>
      <c r="Z440" s="254" t="str">
        <f>CONCATENATE(P440,Q440,R440,S440,V440)</f>
        <v>O23011745992024020708016</v>
      </c>
      <c r="AA440" s="254" t="str">
        <f>IFERROR(VLOOKUP(Y440,TD!$K$47:$L$65,2,0)," ")</f>
        <v>PM/0131/0108/45990160207</v>
      </c>
      <c r="AB440" s="125" t="s">
        <v>138</v>
      </c>
      <c r="AC440" s="255" t="s">
        <v>204</v>
      </c>
    </row>
    <row r="441" spans="2:29" s="28" customFormat="1" ht="28" x14ac:dyDescent="0.35">
      <c r="B441" s="127">
        <v>20250478</v>
      </c>
      <c r="C441" s="129" t="s">
        <v>208</v>
      </c>
      <c r="D441" s="251" t="s">
        <v>166</v>
      </c>
      <c r="E441" s="252" t="s">
        <v>558</v>
      </c>
      <c r="F441" s="251" t="s">
        <v>615</v>
      </c>
      <c r="G441" s="251" t="s">
        <v>155</v>
      </c>
      <c r="H441" s="130" t="s">
        <v>606</v>
      </c>
      <c r="I441" s="253">
        <v>2</v>
      </c>
      <c r="J441" s="253">
        <v>11</v>
      </c>
      <c r="K441" s="126">
        <v>0</v>
      </c>
      <c r="L441" s="125">
        <v>54291951</v>
      </c>
      <c r="M441" s="251" t="s">
        <v>464</v>
      </c>
      <c r="N441" s="125" t="s">
        <v>607</v>
      </c>
      <c r="O441" s="252" t="s">
        <v>219</v>
      </c>
      <c r="P441" s="254" t="str">
        <f>IFERROR(VLOOKUP(C441,TD!$B$33:$F$37,2,0)," ")</f>
        <v>O230117</v>
      </c>
      <c r="Q441" s="254" t="str">
        <f>IFERROR(VLOOKUP(C441,TD!$B$33:$F$37,3,0)," ")</f>
        <v>4599</v>
      </c>
      <c r="R441" s="254">
        <f>IFERROR(VLOOKUP(C441,TD!$B$33:$F$37,4,0)," ")</f>
        <v>20240207</v>
      </c>
      <c r="S441" s="252" t="s">
        <v>185</v>
      </c>
      <c r="T441" s="254" t="str">
        <f>IFERROR(VLOOKUP(S441,TD!$J$34:$K$44,2,0)," ")</f>
        <v>Infraestructura física, mantenimiento y dotación (Sedes construidas, mantenidas reforzadas)</v>
      </c>
      <c r="U441" s="249" t="str">
        <f>CONCATENATE(S441,"-",T441)</f>
        <v>08-Infraestructura física, mantenimiento y dotación (Sedes construidas, mantenidas reforzadas)</v>
      </c>
      <c r="V441" s="252" t="s">
        <v>238</v>
      </c>
      <c r="W441" s="254" t="str">
        <f>IFERROR(VLOOKUP(V441,TD!$N$34:$O$46,2,0)," ")</f>
        <v>Sedes mantenidas</v>
      </c>
      <c r="X441" s="249" t="str">
        <f>CONCATENATE(V441,"_",W441)</f>
        <v>016_Sedes mantenidas</v>
      </c>
      <c r="Y441" s="249" t="str">
        <f>CONCATENATE(U441," ",X441)</f>
        <v>08-Infraestructura física, mantenimiento y dotación (Sedes construidas, mantenidas reforzadas) 016_Sedes mantenidas</v>
      </c>
      <c r="Z441" s="254" t="str">
        <f>CONCATENATE(P441,Q441,R441,S441,V441)</f>
        <v>O23011745992024020708016</v>
      </c>
      <c r="AA441" s="254" t="str">
        <f>IFERROR(VLOOKUP(Y441,TD!$K$47:$L$65,2,0)," ")</f>
        <v>PM/0131/0108/45990160207</v>
      </c>
      <c r="AB441" s="125" t="s">
        <v>138</v>
      </c>
      <c r="AC441" s="255" t="s">
        <v>204</v>
      </c>
    </row>
    <row r="442" spans="2:29" s="28" customFormat="1" ht="28" x14ac:dyDescent="0.35">
      <c r="B442" s="127">
        <v>20250479</v>
      </c>
      <c r="C442" s="129" t="s">
        <v>208</v>
      </c>
      <c r="D442" s="251" t="s">
        <v>166</v>
      </c>
      <c r="E442" s="252" t="s">
        <v>558</v>
      </c>
      <c r="F442" s="251" t="s">
        <v>615</v>
      </c>
      <c r="G442" s="251" t="s">
        <v>155</v>
      </c>
      <c r="H442" s="130" t="s">
        <v>606</v>
      </c>
      <c r="I442" s="253">
        <v>2</v>
      </c>
      <c r="J442" s="253">
        <v>11</v>
      </c>
      <c r="K442" s="126">
        <v>0</v>
      </c>
      <c r="L442" s="125">
        <v>54291951</v>
      </c>
      <c r="M442" s="251" t="s">
        <v>464</v>
      </c>
      <c r="N442" s="125" t="s">
        <v>607</v>
      </c>
      <c r="O442" s="252" t="s">
        <v>219</v>
      </c>
      <c r="P442" s="254" t="str">
        <f>IFERROR(VLOOKUP(C442,TD!$B$33:$F$37,2,0)," ")</f>
        <v>O230117</v>
      </c>
      <c r="Q442" s="254" t="str">
        <f>IFERROR(VLOOKUP(C442,TD!$B$33:$F$37,3,0)," ")</f>
        <v>4599</v>
      </c>
      <c r="R442" s="254">
        <f>IFERROR(VLOOKUP(C442,TD!$B$33:$F$37,4,0)," ")</f>
        <v>20240207</v>
      </c>
      <c r="S442" s="252" t="s">
        <v>185</v>
      </c>
      <c r="T442" s="254" t="str">
        <f>IFERROR(VLOOKUP(S442,TD!$J$34:$K$44,2,0)," ")</f>
        <v>Infraestructura física, mantenimiento y dotación (Sedes construidas, mantenidas reforzadas)</v>
      </c>
      <c r="U442" s="249" t="str">
        <f>CONCATENATE(S442,"-",T442)</f>
        <v>08-Infraestructura física, mantenimiento y dotación (Sedes construidas, mantenidas reforzadas)</v>
      </c>
      <c r="V442" s="252" t="s">
        <v>238</v>
      </c>
      <c r="W442" s="254" t="str">
        <f>IFERROR(VLOOKUP(V442,TD!$N$34:$O$46,2,0)," ")</f>
        <v>Sedes mantenidas</v>
      </c>
      <c r="X442" s="249" t="str">
        <f>CONCATENATE(V442,"_",W442)</f>
        <v>016_Sedes mantenidas</v>
      </c>
      <c r="Y442" s="249" t="str">
        <f>CONCATENATE(U442," ",X442)</f>
        <v>08-Infraestructura física, mantenimiento y dotación (Sedes construidas, mantenidas reforzadas) 016_Sedes mantenidas</v>
      </c>
      <c r="Z442" s="254" t="str">
        <f>CONCATENATE(P442,Q442,R442,S442,V442)</f>
        <v>O23011745992024020708016</v>
      </c>
      <c r="AA442" s="254" t="str">
        <f>IFERROR(VLOOKUP(Y442,TD!$K$47:$L$65,2,0)," ")</f>
        <v>PM/0131/0108/45990160207</v>
      </c>
      <c r="AB442" s="125" t="s">
        <v>138</v>
      </c>
      <c r="AC442" s="252" t="s">
        <v>204</v>
      </c>
    </row>
    <row r="443" spans="2:29" s="28" customFormat="1" ht="112" x14ac:dyDescent="0.35">
      <c r="B443" s="127">
        <v>20250480</v>
      </c>
      <c r="C443" s="129" t="s">
        <v>208</v>
      </c>
      <c r="D443" s="251" t="s">
        <v>166</v>
      </c>
      <c r="E443" s="252" t="s">
        <v>558</v>
      </c>
      <c r="F443" s="251" t="s">
        <v>581</v>
      </c>
      <c r="G443" s="251" t="s">
        <v>156</v>
      </c>
      <c r="H443" s="130" t="s">
        <v>606</v>
      </c>
      <c r="I443" s="253">
        <v>2</v>
      </c>
      <c r="J443" s="253">
        <v>11</v>
      </c>
      <c r="K443" s="126">
        <v>0</v>
      </c>
      <c r="L443" s="125">
        <v>40417344</v>
      </c>
      <c r="M443" s="251" t="s">
        <v>464</v>
      </c>
      <c r="N443" s="125" t="s">
        <v>607</v>
      </c>
      <c r="O443" s="252" t="s">
        <v>219</v>
      </c>
      <c r="P443" s="254" t="str">
        <f>IFERROR(VLOOKUP(C443,TD!$B$33:$F$37,2,0)," ")</f>
        <v>O230117</v>
      </c>
      <c r="Q443" s="254" t="str">
        <f>IFERROR(VLOOKUP(C443,TD!$B$33:$F$37,3,0)," ")</f>
        <v>4599</v>
      </c>
      <c r="R443" s="254">
        <f>IFERROR(VLOOKUP(C443,TD!$B$33:$F$37,4,0)," ")</f>
        <v>20240207</v>
      </c>
      <c r="S443" s="252" t="s">
        <v>185</v>
      </c>
      <c r="T443" s="254" t="str">
        <f>IFERROR(VLOOKUP(S443,TD!$J$34:$K$44,2,0)," ")</f>
        <v>Infraestructura física, mantenimiento y dotación (Sedes construidas, mantenidas reforzadas)</v>
      </c>
      <c r="U443" s="249" t="str">
        <f>CONCATENATE(S443,"-",T443)</f>
        <v>08-Infraestructura física, mantenimiento y dotación (Sedes construidas, mantenidas reforzadas)</v>
      </c>
      <c r="V443" s="252" t="s">
        <v>238</v>
      </c>
      <c r="W443" s="254" t="str">
        <f>IFERROR(VLOOKUP(V443,TD!$N$34:$O$46,2,0)," ")</f>
        <v>Sedes mantenidas</v>
      </c>
      <c r="X443" s="249" t="str">
        <f>CONCATENATE(V443,"_",W443)</f>
        <v>016_Sedes mantenidas</v>
      </c>
      <c r="Y443" s="249" t="str">
        <f>CONCATENATE(U443," ",X443)</f>
        <v>08-Infraestructura física, mantenimiento y dotación (Sedes construidas, mantenidas reforzadas) 016_Sedes mantenidas</v>
      </c>
      <c r="Z443" s="254" t="str">
        <f>CONCATENATE(P443,Q443,R443,S443,V443)</f>
        <v>O23011745992024020708016</v>
      </c>
      <c r="AA443" s="254" t="str">
        <f>IFERROR(VLOOKUP(Y443,TD!$K$47:$L$65,2,0)," ")</f>
        <v>PM/0131/0108/45990160207</v>
      </c>
      <c r="AB443" s="125" t="s">
        <v>138</v>
      </c>
      <c r="AC443" s="255" t="s">
        <v>204</v>
      </c>
    </row>
    <row r="444" spans="2:29" s="28" customFormat="1" ht="140" x14ac:dyDescent="0.35">
      <c r="B444" s="127">
        <v>20250481</v>
      </c>
      <c r="C444" s="129" t="s">
        <v>208</v>
      </c>
      <c r="D444" s="251" t="s">
        <v>166</v>
      </c>
      <c r="E444" s="252" t="s">
        <v>558</v>
      </c>
      <c r="F444" s="251" t="s">
        <v>583</v>
      </c>
      <c r="G444" s="251" t="s">
        <v>155</v>
      </c>
      <c r="H444" s="130" t="s">
        <v>606</v>
      </c>
      <c r="I444" s="253">
        <v>2</v>
      </c>
      <c r="J444" s="253">
        <v>11</v>
      </c>
      <c r="K444" s="126">
        <v>0</v>
      </c>
      <c r="L444" s="125">
        <v>54291951</v>
      </c>
      <c r="M444" s="251" t="s">
        <v>464</v>
      </c>
      <c r="N444" s="125" t="s">
        <v>607</v>
      </c>
      <c r="O444" s="252" t="s">
        <v>219</v>
      </c>
      <c r="P444" s="254" t="str">
        <f>IFERROR(VLOOKUP(C444,TD!$B$33:$F$37,2,0)," ")</f>
        <v>O230117</v>
      </c>
      <c r="Q444" s="254" t="str">
        <f>IFERROR(VLOOKUP(C444,TD!$B$33:$F$37,3,0)," ")</f>
        <v>4599</v>
      </c>
      <c r="R444" s="254">
        <f>IFERROR(VLOOKUP(C444,TD!$B$33:$F$37,4,0)," ")</f>
        <v>20240207</v>
      </c>
      <c r="S444" s="252" t="s">
        <v>185</v>
      </c>
      <c r="T444" s="254" t="str">
        <f>IFERROR(VLOOKUP(S444,TD!$J$34:$K$44,2,0)," ")</f>
        <v>Infraestructura física, mantenimiento y dotación (Sedes construidas, mantenidas reforzadas)</v>
      </c>
      <c r="U444" s="249" t="str">
        <f>CONCATENATE(S444,"-",T444)</f>
        <v>08-Infraestructura física, mantenimiento y dotación (Sedes construidas, mantenidas reforzadas)</v>
      </c>
      <c r="V444" s="252" t="s">
        <v>238</v>
      </c>
      <c r="W444" s="254" t="str">
        <f>IFERROR(VLOOKUP(V444,TD!$N$34:$O$46,2,0)," ")</f>
        <v>Sedes mantenidas</v>
      </c>
      <c r="X444" s="249" t="str">
        <f>CONCATENATE(V444,"_",W444)</f>
        <v>016_Sedes mantenidas</v>
      </c>
      <c r="Y444" s="249" t="str">
        <f>CONCATENATE(U444," ",X444)</f>
        <v>08-Infraestructura física, mantenimiento y dotación (Sedes construidas, mantenidas reforzadas) 016_Sedes mantenidas</v>
      </c>
      <c r="Z444" s="254" t="str">
        <f>CONCATENATE(P444,Q444,R444,S444,V444)</f>
        <v>O23011745992024020708016</v>
      </c>
      <c r="AA444" s="254" t="str">
        <f>IFERROR(VLOOKUP(Y444,TD!$K$47:$L$65,2,0)," ")</f>
        <v>PM/0131/0108/45990160207</v>
      </c>
      <c r="AB444" s="125" t="s">
        <v>138</v>
      </c>
      <c r="AC444" s="255" t="s">
        <v>204</v>
      </c>
    </row>
    <row r="445" spans="2:29" s="28" customFormat="1" ht="70" x14ac:dyDescent="0.35">
      <c r="B445" s="127">
        <v>20250483</v>
      </c>
      <c r="C445" s="129" t="s">
        <v>346</v>
      </c>
      <c r="D445" s="251" t="s">
        <v>166</v>
      </c>
      <c r="E445" s="252" t="s">
        <v>558</v>
      </c>
      <c r="F445" s="251" t="s">
        <v>617</v>
      </c>
      <c r="G445" s="251" t="s">
        <v>96</v>
      </c>
      <c r="H445" s="130" t="s">
        <v>843</v>
      </c>
      <c r="I445" s="253">
        <v>1</v>
      </c>
      <c r="J445" s="253">
        <v>10</v>
      </c>
      <c r="K445" s="126">
        <v>0</v>
      </c>
      <c r="L445" s="125">
        <v>240000000</v>
      </c>
      <c r="M445" s="251" t="s">
        <v>172</v>
      </c>
      <c r="N445" s="125" t="s">
        <v>618</v>
      </c>
      <c r="O445" s="252" t="s">
        <v>347</v>
      </c>
      <c r="P445" s="254" t="str">
        <f>IFERROR(VLOOKUP(C445,TD!$B$33:$F$37,2,0)," ")</f>
        <v>NA</v>
      </c>
      <c r="Q445" s="254" t="str">
        <f>IFERROR(VLOOKUP(C445,TD!$B$33:$F$37,3,0)," ")</f>
        <v>NA</v>
      </c>
      <c r="R445" s="254" t="str">
        <f>IFERROR(VLOOKUP(C445,TD!$B$33:$F$37,4,0)," ")</f>
        <v>NA</v>
      </c>
      <c r="S445" s="252" t="s">
        <v>406</v>
      </c>
      <c r="T445" s="254" t="str">
        <f>IFERROR(VLOOKUP(S445,TD!$J$34:$K$44,2,0)," ")</f>
        <v>N/A</v>
      </c>
      <c r="U445" s="249" t="str">
        <f>CONCATENATE(S445,"-",T445)</f>
        <v>N/A-N/A</v>
      </c>
      <c r="V445" s="252" t="s">
        <v>406</v>
      </c>
      <c r="W445" s="254" t="str">
        <f>IFERROR(VLOOKUP(V445,TD!$N$34:$O$46,2,0)," ")</f>
        <v>N/A</v>
      </c>
      <c r="X445" s="249" t="str">
        <f>CONCATENATE(V445,"_",W445)</f>
        <v>N/A_N/A</v>
      </c>
      <c r="Y445" s="249" t="str">
        <f>CONCATENATE(U445," ",X445)</f>
        <v>N/A-N/A N/A_N/A</v>
      </c>
      <c r="Z445" s="254" t="str">
        <f>CONCATENATE(P445,Q445,R445,S445,V445)</f>
        <v>NANANAN/AN/A</v>
      </c>
      <c r="AA445" s="254" t="str">
        <f>IFERROR(VLOOKUP(Y445,TD!$K$47:$L$65,2,0)," ")</f>
        <v>N/A</v>
      </c>
      <c r="AB445" s="125" t="s">
        <v>663</v>
      </c>
      <c r="AC445" s="255" t="s">
        <v>204</v>
      </c>
    </row>
    <row r="446" spans="2:29" s="28" customFormat="1" ht="56" x14ac:dyDescent="0.35">
      <c r="B446" s="77">
        <v>20250484</v>
      </c>
      <c r="C446" s="50" t="s">
        <v>346</v>
      </c>
      <c r="D446" s="246" t="s">
        <v>166</v>
      </c>
      <c r="E446" s="51" t="s">
        <v>558</v>
      </c>
      <c r="F446" s="246" t="s">
        <v>559</v>
      </c>
      <c r="G446" s="246" t="s">
        <v>96</v>
      </c>
      <c r="H446" s="93" t="s">
        <v>560</v>
      </c>
      <c r="I446" s="247">
        <v>2</v>
      </c>
      <c r="J446" s="247">
        <v>11</v>
      </c>
      <c r="K446" s="52">
        <v>0</v>
      </c>
      <c r="L446" s="53">
        <v>147853623</v>
      </c>
      <c r="M446" s="246" t="s">
        <v>172</v>
      </c>
      <c r="N446" s="53" t="s">
        <v>605</v>
      </c>
      <c r="O446" s="51" t="s">
        <v>347</v>
      </c>
      <c r="P446" s="248" t="str">
        <f>IFERROR(VLOOKUP(C446,TD!$B$33:$F$37,2,0)," ")</f>
        <v>NA</v>
      </c>
      <c r="Q446" s="248" t="str">
        <f>IFERROR(VLOOKUP(C446,TD!$B$33:$F$37,3,0)," ")</f>
        <v>NA</v>
      </c>
      <c r="R446" s="248" t="str">
        <f>IFERROR(VLOOKUP(C446,TD!$B$33:$F$37,4,0)," ")</f>
        <v>NA</v>
      </c>
      <c r="S446" s="51" t="s">
        <v>406</v>
      </c>
      <c r="T446" s="248" t="str">
        <f>IFERROR(VLOOKUP(S446,TD!$J$34:$K$44,2,0)," ")</f>
        <v>N/A</v>
      </c>
      <c r="U446" s="249" t="str">
        <f>CONCATENATE(S446,"-",T446)</f>
        <v>N/A-N/A</v>
      </c>
      <c r="V446" s="51" t="s">
        <v>406</v>
      </c>
      <c r="W446" s="248" t="str">
        <f>IFERROR(VLOOKUP(V446,TD!$N$34:$O$46,2,0)," ")</f>
        <v>N/A</v>
      </c>
      <c r="X446" s="249" t="str">
        <f>CONCATENATE(V446,"_",W446)</f>
        <v>N/A_N/A</v>
      </c>
      <c r="Y446" s="249" t="str">
        <f>CONCATENATE(U446," ",X446)</f>
        <v>N/A-N/A N/A_N/A</v>
      </c>
      <c r="Z446" s="248" t="str">
        <f>CONCATENATE(P446,Q446,R446,S446,V446)</f>
        <v>NANANAN/AN/A</v>
      </c>
      <c r="AA446" s="248" t="str">
        <f>IFERROR(VLOOKUP(Y446,TD!$K$47:$L$65,2,0)," ")</f>
        <v>N/A</v>
      </c>
      <c r="AB446" s="53" t="s">
        <v>663</v>
      </c>
      <c r="AC446" s="250" t="s">
        <v>204</v>
      </c>
    </row>
    <row r="447" spans="2:29" s="28" customFormat="1" ht="140" x14ac:dyDescent="0.35">
      <c r="B447" s="77">
        <v>20250485</v>
      </c>
      <c r="C447" s="50" t="s">
        <v>346</v>
      </c>
      <c r="D447" s="246" t="s">
        <v>166</v>
      </c>
      <c r="E447" s="51" t="s">
        <v>558</v>
      </c>
      <c r="F447" s="246" t="s">
        <v>559</v>
      </c>
      <c r="G447" s="246" t="s">
        <v>96</v>
      </c>
      <c r="H447" s="93" t="s">
        <v>560</v>
      </c>
      <c r="I447" s="247">
        <v>2</v>
      </c>
      <c r="J447" s="247">
        <v>11</v>
      </c>
      <c r="K447" s="52">
        <v>0</v>
      </c>
      <c r="L447" s="53">
        <v>453335302</v>
      </c>
      <c r="M447" s="246" t="s">
        <v>172</v>
      </c>
      <c r="N447" s="53" t="s">
        <v>605</v>
      </c>
      <c r="O447" s="51" t="s">
        <v>347</v>
      </c>
      <c r="P447" s="248" t="str">
        <f>IFERROR(VLOOKUP(C447,TD!$B$33:$F$37,2,0)," ")</f>
        <v>NA</v>
      </c>
      <c r="Q447" s="248" t="str">
        <f>IFERROR(VLOOKUP(C447,TD!$B$33:$F$37,3,0)," ")</f>
        <v>NA</v>
      </c>
      <c r="R447" s="248" t="str">
        <f>IFERROR(VLOOKUP(C447,TD!$B$33:$F$37,4,0)," ")</f>
        <v>NA</v>
      </c>
      <c r="S447" s="51" t="s">
        <v>406</v>
      </c>
      <c r="T447" s="248" t="str">
        <f>IFERROR(VLOOKUP(S447,TD!$J$34:$K$44,2,0)," ")</f>
        <v>N/A</v>
      </c>
      <c r="U447" s="249" t="str">
        <f>CONCATENATE(S447,"-",T447)</f>
        <v>N/A-N/A</v>
      </c>
      <c r="V447" s="51" t="s">
        <v>406</v>
      </c>
      <c r="W447" s="248" t="str">
        <f>IFERROR(VLOOKUP(V447,TD!$N$34:$O$46,2,0)," ")</f>
        <v>N/A</v>
      </c>
      <c r="X447" s="249" t="str">
        <f>CONCATENATE(V447,"_",W447)</f>
        <v>N/A_N/A</v>
      </c>
      <c r="Y447" s="249" t="str">
        <f>CONCATENATE(U447," ",X447)</f>
        <v>N/A-N/A N/A_N/A</v>
      </c>
      <c r="Z447" s="248" t="str">
        <f>CONCATENATE(P447,Q447,R447,S447,V447)</f>
        <v>NANANAN/AN/A</v>
      </c>
      <c r="AA447" s="248" t="str">
        <f>IFERROR(VLOOKUP(Y447,TD!$K$47:$L$65,2,0)," ")</f>
        <v>N/A</v>
      </c>
      <c r="AB447" s="53" t="s">
        <v>663</v>
      </c>
      <c r="AC447" s="250" t="s">
        <v>204</v>
      </c>
    </row>
    <row r="448" spans="2:29" s="28" customFormat="1" ht="140" x14ac:dyDescent="0.35">
      <c r="B448" s="77">
        <v>20250486</v>
      </c>
      <c r="C448" s="50" t="s">
        <v>346</v>
      </c>
      <c r="D448" s="246" t="s">
        <v>166</v>
      </c>
      <c r="E448" s="51" t="s">
        <v>558</v>
      </c>
      <c r="F448" s="246" t="s">
        <v>619</v>
      </c>
      <c r="G448" s="246" t="s">
        <v>114</v>
      </c>
      <c r="H448" s="93" t="s">
        <v>620</v>
      </c>
      <c r="I448" s="247">
        <v>1</v>
      </c>
      <c r="J448" s="247">
        <v>12</v>
      </c>
      <c r="K448" s="52">
        <v>0</v>
      </c>
      <c r="L448" s="53">
        <v>157080000</v>
      </c>
      <c r="M448" s="246" t="s">
        <v>172</v>
      </c>
      <c r="N448" s="53" t="s">
        <v>607</v>
      </c>
      <c r="O448" s="51" t="s">
        <v>347</v>
      </c>
      <c r="P448" s="248" t="str">
        <f>IFERROR(VLOOKUP(C448,TD!$B$33:$F$37,2,0)," ")</f>
        <v>NA</v>
      </c>
      <c r="Q448" s="248" t="str">
        <f>IFERROR(VLOOKUP(C448,TD!$B$33:$F$37,3,0)," ")</f>
        <v>NA</v>
      </c>
      <c r="R448" s="248" t="str">
        <f>IFERROR(VLOOKUP(C448,TD!$B$33:$F$37,4,0)," ")</f>
        <v>NA</v>
      </c>
      <c r="S448" s="51" t="s">
        <v>406</v>
      </c>
      <c r="T448" s="248" t="str">
        <f>IFERROR(VLOOKUP(S448,TD!$J$34:$K$44,2,0)," ")</f>
        <v>N/A</v>
      </c>
      <c r="U448" s="249" t="str">
        <f>CONCATENATE(S448,"-",T448)</f>
        <v>N/A-N/A</v>
      </c>
      <c r="V448" s="51" t="s">
        <v>406</v>
      </c>
      <c r="W448" s="248" t="str">
        <f>IFERROR(VLOOKUP(V448,TD!$N$34:$O$46,2,0)," ")</f>
        <v>N/A</v>
      </c>
      <c r="X448" s="249" t="str">
        <f>CONCATENATE(V448,"_",W448)</f>
        <v>N/A_N/A</v>
      </c>
      <c r="Y448" s="249" t="str">
        <f>CONCATENATE(U448," ",X448)</f>
        <v>N/A-N/A N/A_N/A</v>
      </c>
      <c r="Z448" s="248" t="str">
        <f>CONCATENATE(P448,Q448,R448,S448,V448)</f>
        <v>NANANAN/AN/A</v>
      </c>
      <c r="AA448" s="248" t="str">
        <f>IFERROR(VLOOKUP(Y448,TD!$K$47:$L$65,2,0)," ")</f>
        <v>N/A</v>
      </c>
      <c r="AB448" s="53" t="s">
        <v>663</v>
      </c>
      <c r="AC448" s="250" t="s">
        <v>204</v>
      </c>
    </row>
    <row r="449" spans="2:29" s="28" customFormat="1" ht="112" x14ac:dyDescent="0.35">
      <c r="B449" s="77">
        <v>20250487</v>
      </c>
      <c r="C449" s="50" t="s">
        <v>346</v>
      </c>
      <c r="D449" s="246" t="s">
        <v>166</v>
      </c>
      <c r="E449" s="51" t="s">
        <v>558</v>
      </c>
      <c r="F449" s="246" t="s">
        <v>621</v>
      </c>
      <c r="G449" s="246" t="s">
        <v>96</v>
      </c>
      <c r="H449" s="93" t="s">
        <v>622</v>
      </c>
      <c r="I449" s="247">
        <v>3</v>
      </c>
      <c r="J449" s="247">
        <v>12</v>
      </c>
      <c r="K449" s="52">
        <v>0</v>
      </c>
      <c r="L449" s="53">
        <v>139858097</v>
      </c>
      <c r="M449" s="246" t="s">
        <v>172</v>
      </c>
      <c r="N449" s="53" t="s">
        <v>607</v>
      </c>
      <c r="O449" s="51" t="s">
        <v>347</v>
      </c>
      <c r="P449" s="248" t="str">
        <f>IFERROR(VLOOKUP(C449,TD!$B$33:$F$37,2,0)," ")</f>
        <v>NA</v>
      </c>
      <c r="Q449" s="248" t="str">
        <f>IFERROR(VLOOKUP(C449,TD!$B$33:$F$37,3,0)," ")</f>
        <v>NA</v>
      </c>
      <c r="R449" s="248" t="str">
        <f>IFERROR(VLOOKUP(C449,TD!$B$33:$F$37,4,0)," ")</f>
        <v>NA</v>
      </c>
      <c r="S449" s="51" t="s">
        <v>406</v>
      </c>
      <c r="T449" s="248" t="str">
        <f>IFERROR(VLOOKUP(S449,TD!$J$34:$K$44,2,0)," ")</f>
        <v>N/A</v>
      </c>
      <c r="U449" s="249" t="str">
        <f>CONCATENATE(S449,"-",T449)</f>
        <v>N/A-N/A</v>
      </c>
      <c r="V449" s="51" t="s">
        <v>406</v>
      </c>
      <c r="W449" s="248" t="str">
        <f>IFERROR(VLOOKUP(V449,TD!$N$34:$O$46,2,0)," ")</f>
        <v>N/A</v>
      </c>
      <c r="X449" s="249" t="str">
        <f>CONCATENATE(V449,"_",W449)</f>
        <v>N/A_N/A</v>
      </c>
      <c r="Y449" s="249" t="str">
        <f>CONCATENATE(U449," ",X449)</f>
        <v>N/A-N/A N/A_N/A</v>
      </c>
      <c r="Z449" s="248" t="str">
        <f>CONCATENATE(P449,Q449,R449,S449,V449)</f>
        <v>NANANAN/AN/A</v>
      </c>
      <c r="AA449" s="248" t="str">
        <f>IFERROR(VLOOKUP(Y449,TD!$K$47:$L$65,2,0)," ")</f>
        <v>N/A</v>
      </c>
      <c r="AB449" s="53" t="s">
        <v>348</v>
      </c>
      <c r="AC449" s="250" t="s">
        <v>205</v>
      </c>
    </row>
    <row r="450" spans="2:29" s="28" customFormat="1" ht="70" x14ac:dyDescent="0.35">
      <c r="B450" s="77">
        <v>20250488</v>
      </c>
      <c r="C450" s="50" t="s">
        <v>346</v>
      </c>
      <c r="D450" s="246" t="s">
        <v>166</v>
      </c>
      <c r="E450" s="51" t="s">
        <v>558</v>
      </c>
      <c r="F450" s="246" t="s">
        <v>623</v>
      </c>
      <c r="G450" s="246" t="s">
        <v>119</v>
      </c>
      <c r="H450" s="93" t="s">
        <v>624</v>
      </c>
      <c r="I450" s="247">
        <v>4</v>
      </c>
      <c r="J450" s="247">
        <v>6</v>
      </c>
      <c r="K450" s="52">
        <v>0</v>
      </c>
      <c r="L450" s="53">
        <v>51570633</v>
      </c>
      <c r="M450" s="246" t="s">
        <v>172</v>
      </c>
      <c r="N450" s="53" t="s">
        <v>95</v>
      </c>
      <c r="O450" s="51" t="s">
        <v>347</v>
      </c>
      <c r="P450" s="248" t="str">
        <f>IFERROR(VLOOKUP(C450,TD!$B$33:$F$37,2,0)," ")</f>
        <v>NA</v>
      </c>
      <c r="Q450" s="248" t="str">
        <f>IFERROR(VLOOKUP(C450,TD!$B$33:$F$37,3,0)," ")</f>
        <v>NA</v>
      </c>
      <c r="R450" s="248" t="str">
        <f>IFERROR(VLOOKUP(C450,TD!$B$33:$F$37,4,0)," ")</f>
        <v>NA</v>
      </c>
      <c r="S450" s="51" t="s">
        <v>406</v>
      </c>
      <c r="T450" s="248" t="str">
        <f>IFERROR(VLOOKUP(S450,TD!$J$34:$K$44,2,0)," ")</f>
        <v>N/A</v>
      </c>
      <c r="U450" s="249" t="str">
        <f>CONCATENATE(S450,"-",T450)</f>
        <v>N/A-N/A</v>
      </c>
      <c r="V450" s="51" t="s">
        <v>406</v>
      </c>
      <c r="W450" s="248" t="str">
        <f>IFERROR(VLOOKUP(V450,TD!$N$34:$O$46,2,0)," ")</f>
        <v>N/A</v>
      </c>
      <c r="X450" s="249" t="str">
        <f>CONCATENATE(V450,"_",W450)</f>
        <v>N/A_N/A</v>
      </c>
      <c r="Y450" s="249" t="str">
        <f>CONCATENATE(U450," ",X450)</f>
        <v>N/A-N/A N/A_N/A</v>
      </c>
      <c r="Z450" s="248" t="str">
        <f>CONCATENATE(P450,Q450,R450,S450,V450)</f>
        <v>NANANAN/AN/A</v>
      </c>
      <c r="AA450" s="248" t="str">
        <f>IFERROR(VLOOKUP(Y450,TD!$K$47:$L$65,2,0)," ")</f>
        <v>N/A</v>
      </c>
      <c r="AB450" s="53" t="s">
        <v>663</v>
      </c>
      <c r="AC450" s="250" t="s">
        <v>204</v>
      </c>
    </row>
    <row r="451" spans="2:29" s="28" customFormat="1" ht="42" x14ac:dyDescent="0.35">
      <c r="B451" s="77">
        <v>20250489</v>
      </c>
      <c r="C451" s="50" t="s">
        <v>346</v>
      </c>
      <c r="D451" s="246" t="s">
        <v>166</v>
      </c>
      <c r="E451" s="51" t="s">
        <v>558</v>
      </c>
      <c r="F451" s="246" t="s">
        <v>625</v>
      </c>
      <c r="G451" s="246" t="s">
        <v>119</v>
      </c>
      <c r="H451" s="93" t="s">
        <v>626</v>
      </c>
      <c r="I451" s="247">
        <v>3</v>
      </c>
      <c r="J451" s="247">
        <v>9</v>
      </c>
      <c r="K451" s="52">
        <v>0</v>
      </c>
      <c r="L451" s="53">
        <f>80000000+101000000</f>
        <v>181000000</v>
      </c>
      <c r="M451" s="246" t="s">
        <v>172</v>
      </c>
      <c r="N451" s="53" t="s">
        <v>95</v>
      </c>
      <c r="O451" s="51" t="s">
        <v>347</v>
      </c>
      <c r="P451" s="248" t="str">
        <f>IFERROR(VLOOKUP(C451,TD!$B$33:$F$37,2,0)," ")</f>
        <v>NA</v>
      </c>
      <c r="Q451" s="248" t="str">
        <f>IFERROR(VLOOKUP(C451,TD!$B$33:$F$37,3,0)," ")</f>
        <v>NA</v>
      </c>
      <c r="R451" s="248" t="str">
        <f>IFERROR(VLOOKUP(C451,TD!$B$33:$F$37,4,0)," ")</f>
        <v>NA</v>
      </c>
      <c r="S451" s="51" t="s">
        <v>406</v>
      </c>
      <c r="T451" s="248" t="str">
        <f>IFERROR(VLOOKUP(S451,TD!$J$34:$K$44,2,0)," ")</f>
        <v>N/A</v>
      </c>
      <c r="U451" s="249" t="str">
        <f>CONCATENATE(S451,"-",T451)</f>
        <v>N/A-N/A</v>
      </c>
      <c r="V451" s="51" t="s">
        <v>406</v>
      </c>
      <c r="W451" s="248" t="str">
        <f>IFERROR(VLOOKUP(V451,TD!$N$34:$O$46,2,0)," ")</f>
        <v>N/A</v>
      </c>
      <c r="X451" s="249" t="str">
        <f>CONCATENATE(V451,"_",W451)</f>
        <v>N/A_N/A</v>
      </c>
      <c r="Y451" s="249" t="str">
        <f>CONCATENATE(U451," ",X451)</f>
        <v>N/A-N/A N/A_N/A</v>
      </c>
      <c r="Z451" s="248" t="str">
        <f>CONCATENATE(P451,Q451,R451,S451,V451)</f>
        <v>NANANAN/AN/A</v>
      </c>
      <c r="AA451" s="248" t="str">
        <f>IFERROR(VLOOKUP(Y451,TD!$K$47:$L$65,2,0)," ")</f>
        <v>N/A</v>
      </c>
      <c r="AB451" s="53" t="s">
        <v>663</v>
      </c>
      <c r="AC451" s="250" t="s">
        <v>204</v>
      </c>
    </row>
    <row r="452" spans="2:29" s="28" customFormat="1" ht="56" x14ac:dyDescent="0.35">
      <c r="B452" s="127">
        <v>20250491</v>
      </c>
      <c r="C452" s="50" t="s">
        <v>346</v>
      </c>
      <c r="D452" s="246" t="s">
        <v>166</v>
      </c>
      <c r="E452" s="51" t="s">
        <v>558</v>
      </c>
      <c r="F452" s="246" t="s">
        <v>580</v>
      </c>
      <c r="G452" s="246" t="s">
        <v>96</v>
      </c>
      <c r="H452" s="93" t="s">
        <v>627</v>
      </c>
      <c r="I452" s="247">
        <v>4</v>
      </c>
      <c r="J452" s="247">
        <v>3</v>
      </c>
      <c r="K452" s="52">
        <v>0</v>
      </c>
      <c r="L452" s="53">
        <f>560000000-200000000-148197000</f>
        <v>211803000</v>
      </c>
      <c r="M452" s="246" t="s">
        <v>172</v>
      </c>
      <c r="N452" s="125" t="s">
        <v>90</v>
      </c>
      <c r="O452" s="51" t="s">
        <v>347</v>
      </c>
      <c r="P452" s="248" t="str">
        <f>IFERROR(VLOOKUP(C452,TD!$B$33:$F$37,2,0)," ")</f>
        <v>NA</v>
      </c>
      <c r="Q452" s="248" t="str">
        <f>IFERROR(VLOOKUP(C452,TD!$B$33:$F$37,3,0)," ")</f>
        <v>NA</v>
      </c>
      <c r="R452" s="248" t="str">
        <f>IFERROR(VLOOKUP(C452,TD!$B$33:$F$37,4,0)," ")</f>
        <v>NA</v>
      </c>
      <c r="S452" s="51" t="s">
        <v>406</v>
      </c>
      <c r="T452" s="248" t="str">
        <f>IFERROR(VLOOKUP(S452,TD!$J$34:$K$44,2,0)," ")</f>
        <v>N/A</v>
      </c>
      <c r="U452" s="249" t="str">
        <f>CONCATENATE(S452,"-",T452)</f>
        <v>N/A-N/A</v>
      </c>
      <c r="V452" s="51" t="s">
        <v>406</v>
      </c>
      <c r="W452" s="248" t="str">
        <f>IFERROR(VLOOKUP(V452,TD!$N$34:$O$46,2,0)," ")</f>
        <v>N/A</v>
      </c>
      <c r="X452" s="249" t="str">
        <f>CONCATENATE(V452,"_",W452)</f>
        <v>N/A_N/A</v>
      </c>
      <c r="Y452" s="249" t="str">
        <f>CONCATENATE(U452," ",X452)</f>
        <v>N/A-N/A N/A_N/A</v>
      </c>
      <c r="Z452" s="248" t="str">
        <f>CONCATENATE(P452,Q452,R452,S452,V452)</f>
        <v>NANANAN/AN/A</v>
      </c>
      <c r="AA452" s="248" t="str">
        <f>IFERROR(VLOOKUP(Y452,TD!$K$47:$L$65,2,0)," ")</f>
        <v>N/A</v>
      </c>
      <c r="AB452" s="53" t="s">
        <v>663</v>
      </c>
      <c r="AC452" s="250" t="s">
        <v>204</v>
      </c>
    </row>
    <row r="453" spans="2:29" s="28" customFormat="1" ht="84" x14ac:dyDescent="0.35">
      <c r="B453" s="77">
        <v>20250492</v>
      </c>
      <c r="C453" s="50" t="s">
        <v>346</v>
      </c>
      <c r="D453" s="246" t="s">
        <v>166</v>
      </c>
      <c r="E453" s="51" t="s">
        <v>558</v>
      </c>
      <c r="F453" s="246" t="s">
        <v>628</v>
      </c>
      <c r="G453" s="246" t="s">
        <v>129</v>
      </c>
      <c r="H453" s="93" t="s">
        <v>629</v>
      </c>
      <c r="I453" s="247">
        <v>2</v>
      </c>
      <c r="J453" s="247">
        <v>3</v>
      </c>
      <c r="K453" s="52">
        <v>0</v>
      </c>
      <c r="L453" s="53">
        <f>2000000000-690803949</f>
        <v>1309196051</v>
      </c>
      <c r="M453" s="246" t="s">
        <v>172</v>
      </c>
      <c r="N453" s="53" t="s">
        <v>85</v>
      </c>
      <c r="O453" s="51" t="s">
        <v>347</v>
      </c>
      <c r="P453" s="248" t="str">
        <f>IFERROR(VLOOKUP(C453,TD!$B$33:$F$37,2,0)," ")</f>
        <v>NA</v>
      </c>
      <c r="Q453" s="248" t="str">
        <f>IFERROR(VLOOKUP(C453,TD!$B$33:$F$37,3,0)," ")</f>
        <v>NA</v>
      </c>
      <c r="R453" s="248" t="str">
        <f>IFERROR(VLOOKUP(C453,TD!$B$33:$F$37,4,0)," ")</f>
        <v>NA</v>
      </c>
      <c r="S453" s="51" t="s">
        <v>406</v>
      </c>
      <c r="T453" s="248" t="str">
        <f>IFERROR(VLOOKUP(S453,TD!$J$34:$K$44,2,0)," ")</f>
        <v>N/A</v>
      </c>
      <c r="U453" s="249" t="str">
        <f>CONCATENATE(S453,"-",T453)</f>
        <v>N/A-N/A</v>
      </c>
      <c r="V453" s="51" t="s">
        <v>406</v>
      </c>
      <c r="W453" s="248" t="str">
        <f>IFERROR(VLOOKUP(V453,TD!$N$34:$O$46,2,0)," ")</f>
        <v>N/A</v>
      </c>
      <c r="X453" s="249" t="str">
        <f>CONCATENATE(V453,"_",W453)</f>
        <v>N/A_N/A</v>
      </c>
      <c r="Y453" s="249" t="str">
        <f>CONCATENATE(U453," ",X453)</f>
        <v>N/A-N/A N/A_N/A</v>
      </c>
      <c r="Z453" s="248" t="str">
        <f>CONCATENATE(P453,Q453,R453,S453,V453)</f>
        <v>NANANAN/AN/A</v>
      </c>
      <c r="AA453" s="248" t="str">
        <f>IFERROR(VLOOKUP(Y453,TD!$K$47:$L$65,2,0)," ")</f>
        <v>N/A</v>
      </c>
      <c r="AB453" s="53" t="s">
        <v>663</v>
      </c>
      <c r="AC453" s="250" t="s">
        <v>205</v>
      </c>
    </row>
    <row r="454" spans="2:29" s="28" customFormat="1" ht="56" x14ac:dyDescent="0.35">
      <c r="B454" s="77">
        <v>20250493</v>
      </c>
      <c r="C454" s="50" t="s">
        <v>346</v>
      </c>
      <c r="D454" s="246" t="s">
        <v>166</v>
      </c>
      <c r="E454" s="51" t="s">
        <v>558</v>
      </c>
      <c r="F454" s="246" t="s">
        <v>630</v>
      </c>
      <c r="G454" s="246" t="s">
        <v>129</v>
      </c>
      <c r="H454" s="93" t="s">
        <v>629</v>
      </c>
      <c r="I454" s="247">
        <v>1</v>
      </c>
      <c r="J454" s="247">
        <v>3</v>
      </c>
      <c r="K454" s="52">
        <v>0</v>
      </c>
      <c r="L454" s="53">
        <f>14000000-7218822</f>
        <v>6781178</v>
      </c>
      <c r="M454" s="246" t="s">
        <v>172</v>
      </c>
      <c r="N454" s="53" t="s">
        <v>85</v>
      </c>
      <c r="O454" s="51" t="s">
        <v>347</v>
      </c>
      <c r="P454" s="248" t="str">
        <f>IFERROR(VLOOKUP(C454,TD!$B$33:$F$37,2,0)," ")</f>
        <v>NA</v>
      </c>
      <c r="Q454" s="248" t="str">
        <f>IFERROR(VLOOKUP(C454,TD!$B$33:$F$37,3,0)," ")</f>
        <v>NA</v>
      </c>
      <c r="R454" s="248" t="str">
        <f>IFERROR(VLOOKUP(C454,TD!$B$33:$F$37,4,0)," ")</f>
        <v>NA</v>
      </c>
      <c r="S454" s="51" t="s">
        <v>406</v>
      </c>
      <c r="T454" s="248" t="str">
        <f>IFERROR(VLOOKUP(S454,TD!$J$34:$K$44,2,0)," ")</f>
        <v>N/A</v>
      </c>
      <c r="U454" s="249" t="str">
        <f>CONCATENATE(S454,"-",T454)</f>
        <v>N/A-N/A</v>
      </c>
      <c r="V454" s="51" t="s">
        <v>406</v>
      </c>
      <c r="W454" s="248" t="str">
        <f>IFERROR(VLOOKUP(V454,TD!$N$34:$O$46,2,0)," ")</f>
        <v>N/A</v>
      </c>
      <c r="X454" s="249" t="str">
        <f>CONCATENATE(V454,"_",W454)</f>
        <v>N/A_N/A</v>
      </c>
      <c r="Y454" s="249" t="str">
        <f>CONCATENATE(U454," ",X454)</f>
        <v>N/A-N/A N/A_N/A</v>
      </c>
      <c r="Z454" s="248" t="str">
        <f>CONCATENATE(P454,Q454,R454,S454,V454)</f>
        <v>NANANAN/AN/A</v>
      </c>
      <c r="AA454" s="248" t="str">
        <f>IFERROR(VLOOKUP(Y454,TD!$K$47:$L$65,2,0)," ")</f>
        <v>N/A</v>
      </c>
      <c r="AB454" s="53" t="s">
        <v>663</v>
      </c>
      <c r="AC454" s="250" t="s">
        <v>205</v>
      </c>
    </row>
    <row r="455" spans="2:29" s="28" customFormat="1" ht="28" x14ac:dyDescent="0.35">
      <c r="B455" s="77">
        <v>20250494</v>
      </c>
      <c r="C455" s="50" t="s">
        <v>346</v>
      </c>
      <c r="D455" s="246" t="s">
        <v>166</v>
      </c>
      <c r="E455" s="51" t="s">
        <v>558</v>
      </c>
      <c r="F455" s="246" t="s">
        <v>918</v>
      </c>
      <c r="G455" s="246" t="s">
        <v>129</v>
      </c>
      <c r="H455" s="93" t="s">
        <v>629</v>
      </c>
      <c r="I455" s="247">
        <v>5</v>
      </c>
      <c r="J455" s="247">
        <v>10</v>
      </c>
      <c r="K455" s="52">
        <v>0</v>
      </c>
      <c r="L455" s="53">
        <v>6319572073</v>
      </c>
      <c r="M455" s="246" t="s">
        <v>172</v>
      </c>
      <c r="N455" s="53" t="s">
        <v>85</v>
      </c>
      <c r="O455" s="51" t="s">
        <v>347</v>
      </c>
      <c r="P455" s="248" t="str">
        <f>IFERROR(VLOOKUP(C455,TD!$B$33:$F$37,2,0)," ")</f>
        <v>NA</v>
      </c>
      <c r="Q455" s="248" t="str">
        <f>IFERROR(VLOOKUP(C455,TD!$B$33:$F$37,3,0)," ")</f>
        <v>NA</v>
      </c>
      <c r="R455" s="248" t="str">
        <f>IFERROR(VLOOKUP(C455,TD!$B$33:$F$37,4,0)," ")</f>
        <v>NA</v>
      </c>
      <c r="S455" s="51" t="s">
        <v>406</v>
      </c>
      <c r="T455" s="248" t="str">
        <f>IFERROR(VLOOKUP(S455,TD!$J$34:$K$44,2,0)," ")</f>
        <v>N/A</v>
      </c>
      <c r="U455" s="249" t="str">
        <f>CONCATENATE(S455,"-",T455)</f>
        <v>N/A-N/A</v>
      </c>
      <c r="V455" s="51" t="s">
        <v>406</v>
      </c>
      <c r="W455" s="248" t="str">
        <f>IFERROR(VLOOKUP(V455,TD!$N$34:$O$46,2,0)," ")</f>
        <v>N/A</v>
      </c>
      <c r="X455" s="249" t="str">
        <f>CONCATENATE(V455,"_",W455)</f>
        <v>N/A_N/A</v>
      </c>
      <c r="Y455" s="249" t="str">
        <f>CONCATENATE(U455," ",X455)</f>
        <v>N/A-N/A N/A_N/A</v>
      </c>
      <c r="Z455" s="248" t="str">
        <f>CONCATENATE(P455,Q455,R455,S455,V455)</f>
        <v>NANANAN/AN/A</v>
      </c>
      <c r="AA455" s="248" t="str">
        <f>IFERROR(VLOOKUP(Y455,TD!$K$47:$L$65,2,0)," ")</f>
        <v>N/A</v>
      </c>
      <c r="AB455" s="53" t="s">
        <v>663</v>
      </c>
      <c r="AC455" s="250" t="s">
        <v>204</v>
      </c>
    </row>
    <row r="456" spans="2:29" s="28" customFormat="1" ht="154" x14ac:dyDescent="0.35">
      <c r="B456" s="127">
        <v>20250495</v>
      </c>
      <c r="C456" s="129" t="s">
        <v>346</v>
      </c>
      <c r="D456" s="251" t="s">
        <v>166</v>
      </c>
      <c r="E456" s="252" t="s">
        <v>558</v>
      </c>
      <c r="F456" s="251" t="s">
        <v>844</v>
      </c>
      <c r="G456" s="251" t="s">
        <v>133</v>
      </c>
      <c r="H456" s="130" t="s">
        <v>616</v>
      </c>
      <c r="I456" s="253">
        <v>2</v>
      </c>
      <c r="J456" s="253">
        <v>3</v>
      </c>
      <c r="K456" s="126">
        <v>0</v>
      </c>
      <c r="L456" s="125">
        <f>20003880+65341500</f>
        <v>85345380</v>
      </c>
      <c r="M456" s="251" t="s">
        <v>172</v>
      </c>
      <c r="N456" s="125" t="s">
        <v>85</v>
      </c>
      <c r="O456" s="252" t="s">
        <v>347</v>
      </c>
      <c r="P456" s="254" t="str">
        <f>IFERROR(VLOOKUP(C456,TD!$B$33:$F$37,2,0)," ")</f>
        <v>NA</v>
      </c>
      <c r="Q456" s="254" t="str">
        <f>IFERROR(VLOOKUP(C456,TD!$B$33:$F$37,3,0)," ")</f>
        <v>NA</v>
      </c>
      <c r="R456" s="254" t="str">
        <f>IFERROR(VLOOKUP(C456,TD!$B$33:$F$37,4,0)," ")</f>
        <v>NA</v>
      </c>
      <c r="S456" s="252" t="s">
        <v>406</v>
      </c>
      <c r="T456" s="254" t="str">
        <f>IFERROR(VLOOKUP(S456,TD!$J$34:$K$44,2,0)," ")</f>
        <v>N/A</v>
      </c>
      <c r="U456" s="249" t="str">
        <f>CONCATENATE(S456,"-",T456)</f>
        <v>N/A-N/A</v>
      </c>
      <c r="V456" s="252" t="s">
        <v>406</v>
      </c>
      <c r="W456" s="254" t="str">
        <f>IFERROR(VLOOKUP(V456,TD!$N$34:$O$46,2,0)," ")</f>
        <v>N/A</v>
      </c>
      <c r="X456" s="249" t="str">
        <f>CONCATENATE(V456,"_",W456)</f>
        <v>N/A_N/A</v>
      </c>
      <c r="Y456" s="249" t="str">
        <f>CONCATENATE(U456," ",X456)</f>
        <v>N/A-N/A N/A_N/A</v>
      </c>
      <c r="Z456" s="254" t="str">
        <f>CONCATENATE(P456,Q456,R456,S456,V456)</f>
        <v>NANANAN/AN/A</v>
      </c>
      <c r="AA456" s="254" t="str">
        <f>IFERROR(VLOOKUP(Y456,TD!$K$47:$L$65,2,0)," ")</f>
        <v>N/A</v>
      </c>
      <c r="AB456" s="125" t="s">
        <v>663</v>
      </c>
      <c r="AC456" s="255" t="s">
        <v>205</v>
      </c>
    </row>
    <row r="457" spans="2:29" s="28" customFormat="1" ht="56" x14ac:dyDescent="0.35">
      <c r="B457" s="77">
        <v>20250496</v>
      </c>
      <c r="C457" s="50" t="s">
        <v>346</v>
      </c>
      <c r="D457" s="246" t="s">
        <v>166</v>
      </c>
      <c r="E457" s="51" t="s">
        <v>558</v>
      </c>
      <c r="F457" s="246" t="s">
        <v>631</v>
      </c>
      <c r="G457" s="246" t="s">
        <v>157</v>
      </c>
      <c r="H457" s="93" t="s">
        <v>725</v>
      </c>
      <c r="I457" s="247">
        <v>4</v>
      </c>
      <c r="J457" s="247">
        <v>10</v>
      </c>
      <c r="K457" s="52">
        <v>0</v>
      </c>
      <c r="L457" s="53">
        <f>10000000+1000000</f>
        <v>11000000</v>
      </c>
      <c r="M457" s="246" t="s">
        <v>172</v>
      </c>
      <c r="N457" s="53" t="s">
        <v>607</v>
      </c>
      <c r="O457" s="51" t="s">
        <v>347</v>
      </c>
      <c r="P457" s="248" t="str">
        <f>IFERROR(VLOOKUP(C457,TD!$B$33:$F$37,2,0)," ")</f>
        <v>NA</v>
      </c>
      <c r="Q457" s="248" t="str">
        <f>IFERROR(VLOOKUP(C457,TD!$B$33:$F$37,3,0)," ")</f>
        <v>NA</v>
      </c>
      <c r="R457" s="248" t="str">
        <f>IFERROR(VLOOKUP(C457,TD!$B$33:$F$37,4,0)," ")</f>
        <v>NA</v>
      </c>
      <c r="S457" s="51" t="s">
        <v>406</v>
      </c>
      <c r="T457" s="248" t="str">
        <f>IFERROR(VLOOKUP(S457,TD!$J$34:$K$44,2,0)," ")</f>
        <v>N/A</v>
      </c>
      <c r="U457" s="249" t="str">
        <f>CONCATENATE(S457,"-",T457)</f>
        <v>N/A-N/A</v>
      </c>
      <c r="V457" s="51" t="s">
        <v>406</v>
      </c>
      <c r="W457" s="248" t="str">
        <f>IFERROR(VLOOKUP(V457,TD!$N$34:$O$46,2,0)," ")</f>
        <v>N/A</v>
      </c>
      <c r="X457" s="249" t="str">
        <f>CONCATENATE(V457,"_",W457)</f>
        <v>N/A_N/A</v>
      </c>
      <c r="Y457" s="249" t="str">
        <f>CONCATENATE(U457," ",X457)</f>
        <v>N/A-N/A N/A_N/A</v>
      </c>
      <c r="Z457" s="248" t="str">
        <f>CONCATENATE(P457,Q457,R457,S457,V457)</f>
        <v>NANANAN/AN/A</v>
      </c>
      <c r="AA457" s="248" t="str">
        <f>IFERROR(VLOOKUP(Y457,TD!$K$47:$L$65,2,0)," ")</f>
        <v>N/A</v>
      </c>
      <c r="AB457" s="53" t="s">
        <v>663</v>
      </c>
      <c r="AC457" s="250" t="s">
        <v>204</v>
      </c>
    </row>
    <row r="458" spans="2:29" s="28" customFormat="1" ht="56" x14ac:dyDescent="0.35">
      <c r="B458" s="77">
        <v>20250497</v>
      </c>
      <c r="C458" s="50" t="s">
        <v>346</v>
      </c>
      <c r="D458" s="246" t="s">
        <v>166</v>
      </c>
      <c r="E458" s="51" t="s">
        <v>558</v>
      </c>
      <c r="F458" s="246" t="s">
        <v>632</v>
      </c>
      <c r="G458" s="246" t="s">
        <v>96</v>
      </c>
      <c r="H458" s="93" t="s">
        <v>726</v>
      </c>
      <c r="I458" s="247">
        <v>3</v>
      </c>
      <c r="J458" s="247">
        <v>2</v>
      </c>
      <c r="K458" s="52">
        <v>0</v>
      </c>
      <c r="L458" s="53">
        <v>1285200</v>
      </c>
      <c r="M458" s="246" t="s">
        <v>172</v>
      </c>
      <c r="N458" s="53" t="s">
        <v>100</v>
      </c>
      <c r="O458" s="51" t="s">
        <v>347</v>
      </c>
      <c r="P458" s="248" t="str">
        <f>IFERROR(VLOOKUP(C458,TD!$B$33:$F$37,2,0)," ")</f>
        <v>NA</v>
      </c>
      <c r="Q458" s="248" t="str">
        <f>IFERROR(VLOOKUP(C458,TD!$B$33:$F$37,3,0)," ")</f>
        <v>NA</v>
      </c>
      <c r="R458" s="248" t="str">
        <f>IFERROR(VLOOKUP(C458,TD!$B$33:$F$37,4,0)," ")</f>
        <v>NA</v>
      </c>
      <c r="S458" s="51" t="s">
        <v>406</v>
      </c>
      <c r="T458" s="248" t="str">
        <f>IFERROR(VLOOKUP(S458,TD!$J$34:$K$44,2,0)," ")</f>
        <v>N/A</v>
      </c>
      <c r="U458" s="249" t="str">
        <f>CONCATENATE(S458,"-",T458)</f>
        <v>N/A-N/A</v>
      </c>
      <c r="V458" s="51" t="s">
        <v>406</v>
      </c>
      <c r="W458" s="248" t="str">
        <f>IFERROR(VLOOKUP(V458,TD!$N$34:$O$46,2,0)," ")</f>
        <v>N/A</v>
      </c>
      <c r="X458" s="249" t="str">
        <f>CONCATENATE(V458,"_",W458)</f>
        <v>N/A_N/A</v>
      </c>
      <c r="Y458" s="249" t="str">
        <f>CONCATENATE(U458," ",X458)</f>
        <v>N/A-N/A N/A_N/A</v>
      </c>
      <c r="Z458" s="248" t="str">
        <f>CONCATENATE(P458,Q458,R458,S458,V458)</f>
        <v>NANANAN/AN/A</v>
      </c>
      <c r="AA458" s="248" t="str">
        <f>IFERROR(VLOOKUP(Y458,TD!$K$47:$L$65,2,0)," ")</f>
        <v>N/A</v>
      </c>
      <c r="AB458" s="53" t="s">
        <v>663</v>
      </c>
      <c r="AC458" s="250" t="s">
        <v>204</v>
      </c>
    </row>
    <row r="459" spans="2:29" s="28" customFormat="1" ht="56" x14ac:dyDescent="0.35">
      <c r="B459" s="77">
        <v>20250500</v>
      </c>
      <c r="C459" s="50" t="s">
        <v>346</v>
      </c>
      <c r="D459" s="246" t="s">
        <v>166</v>
      </c>
      <c r="E459" s="51" t="s">
        <v>558</v>
      </c>
      <c r="F459" s="246" t="s">
        <v>634</v>
      </c>
      <c r="G459" s="246" t="s">
        <v>157</v>
      </c>
      <c r="H459" s="93" t="s">
        <v>635</v>
      </c>
      <c r="I459" s="247">
        <v>1</v>
      </c>
      <c r="J459" s="247">
        <v>10</v>
      </c>
      <c r="K459" s="52">
        <v>0</v>
      </c>
      <c r="L459" s="53">
        <v>25000000</v>
      </c>
      <c r="M459" s="246" t="s">
        <v>172</v>
      </c>
      <c r="N459" s="53" t="s">
        <v>100</v>
      </c>
      <c r="O459" s="51" t="s">
        <v>347</v>
      </c>
      <c r="P459" s="248" t="str">
        <f>IFERROR(VLOOKUP(C459,TD!$B$33:$F$37,2,0)," ")</f>
        <v>NA</v>
      </c>
      <c r="Q459" s="248" t="str">
        <f>IFERROR(VLOOKUP(C459,TD!$B$33:$F$37,3,0)," ")</f>
        <v>NA</v>
      </c>
      <c r="R459" s="248" t="str">
        <f>IFERROR(VLOOKUP(C459,TD!$B$33:$F$37,4,0)," ")</f>
        <v>NA</v>
      </c>
      <c r="S459" s="51" t="s">
        <v>406</v>
      </c>
      <c r="T459" s="248" t="str">
        <f>IFERROR(VLOOKUP(S459,TD!$J$34:$K$44,2,0)," ")</f>
        <v>N/A</v>
      </c>
      <c r="U459" s="249" t="str">
        <f>CONCATENATE(S459,"-",T459)</f>
        <v>N/A-N/A</v>
      </c>
      <c r="V459" s="51" t="s">
        <v>406</v>
      </c>
      <c r="W459" s="248" t="str">
        <f>IFERROR(VLOOKUP(V459,TD!$N$34:$O$46,2,0)," ")</f>
        <v>N/A</v>
      </c>
      <c r="X459" s="249" t="str">
        <f>CONCATENATE(V459,"_",W459)</f>
        <v>N/A_N/A</v>
      </c>
      <c r="Y459" s="249" t="str">
        <f>CONCATENATE(U459," ",X459)</f>
        <v>N/A-N/A N/A_N/A</v>
      </c>
      <c r="Z459" s="248" t="str">
        <f>CONCATENATE(P459,Q459,R459,S459,V459)</f>
        <v>NANANAN/AN/A</v>
      </c>
      <c r="AA459" s="248" t="str">
        <f>IFERROR(VLOOKUP(Y459,TD!$K$47:$L$65,2,0)," ")</f>
        <v>N/A</v>
      </c>
      <c r="AB459" s="53" t="s">
        <v>663</v>
      </c>
      <c r="AC459" s="250" t="s">
        <v>204</v>
      </c>
    </row>
    <row r="460" spans="2:29" s="28" customFormat="1" ht="378" x14ac:dyDescent="0.35">
      <c r="B460" s="77">
        <v>20250501</v>
      </c>
      <c r="C460" s="50" t="s">
        <v>346</v>
      </c>
      <c r="D460" s="246" t="s">
        <v>166</v>
      </c>
      <c r="E460" s="51" t="s">
        <v>558</v>
      </c>
      <c r="F460" s="246" t="s">
        <v>636</v>
      </c>
      <c r="G460" s="246" t="s">
        <v>96</v>
      </c>
      <c r="H460" s="93" t="s">
        <v>637</v>
      </c>
      <c r="I460" s="247">
        <v>3</v>
      </c>
      <c r="J460" s="247">
        <v>10</v>
      </c>
      <c r="K460" s="52">
        <v>0</v>
      </c>
      <c r="L460" s="53">
        <v>30000000</v>
      </c>
      <c r="M460" s="246" t="s">
        <v>172</v>
      </c>
      <c r="N460" s="53" t="s">
        <v>100</v>
      </c>
      <c r="O460" s="51" t="s">
        <v>347</v>
      </c>
      <c r="P460" s="248" t="str">
        <f>IFERROR(VLOOKUP(C460,TD!$B$33:$F$37,2,0)," ")</f>
        <v>NA</v>
      </c>
      <c r="Q460" s="248" t="str">
        <f>IFERROR(VLOOKUP(C460,TD!$B$33:$F$37,3,0)," ")</f>
        <v>NA</v>
      </c>
      <c r="R460" s="248" t="str">
        <f>IFERROR(VLOOKUP(C460,TD!$B$33:$F$37,4,0)," ")</f>
        <v>NA</v>
      </c>
      <c r="S460" s="51" t="s">
        <v>406</v>
      </c>
      <c r="T460" s="248" t="str">
        <f>IFERROR(VLOOKUP(S460,TD!$J$34:$K$44,2,0)," ")</f>
        <v>N/A</v>
      </c>
      <c r="U460" s="249" t="str">
        <f>CONCATENATE(S460,"-",T460)</f>
        <v>N/A-N/A</v>
      </c>
      <c r="V460" s="51" t="s">
        <v>406</v>
      </c>
      <c r="W460" s="248" t="str">
        <f>IFERROR(VLOOKUP(V460,TD!$N$34:$O$46,2,0)," ")</f>
        <v>N/A</v>
      </c>
      <c r="X460" s="249" t="str">
        <f>CONCATENATE(V460,"_",W460)</f>
        <v>N/A_N/A</v>
      </c>
      <c r="Y460" s="249" t="str">
        <f>CONCATENATE(U460," ",X460)</f>
        <v>N/A-N/A N/A_N/A</v>
      </c>
      <c r="Z460" s="248" t="str">
        <f>CONCATENATE(P460,Q460,R460,S460,V460)</f>
        <v>NANANAN/AN/A</v>
      </c>
      <c r="AA460" s="248" t="str">
        <f>IFERROR(VLOOKUP(Y460,TD!$K$47:$L$65,2,0)," ")</f>
        <v>N/A</v>
      </c>
      <c r="AB460" s="53" t="s">
        <v>663</v>
      </c>
      <c r="AC460" s="250" t="s">
        <v>204</v>
      </c>
    </row>
    <row r="461" spans="2:29" s="28" customFormat="1" ht="70" x14ac:dyDescent="0.35">
      <c r="B461" s="77">
        <v>20250502</v>
      </c>
      <c r="C461" s="50" t="s">
        <v>346</v>
      </c>
      <c r="D461" s="246" t="s">
        <v>166</v>
      </c>
      <c r="E461" s="51" t="s">
        <v>558</v>
      </c>
      <c r="F461" s="246" t="s">
        <v>897</v>
      </c>
      <c r="G461" s="246" t="s">
        <v>119</v>
      </c>
      <c r="H461" s="93" t="s">
        <v>638</v>
      </c>
      <c r="I461" s="247">
        <v>3</v>
      </c>
      <c r="J461" s="247">
        <v>8</v>
      </c>
      <c r="K461" s="52">
        <v>0</v>
      </c>
      <c r="L461" s="53">
        <v>10000000</v>
      </c>
      <c r="M461" s="246" t="s">
        <v>172</v>
      </c>
      <c r="N461" s="53" t="s">
        <v>100</v>
      </c>
      <c r="O461" s="51" t="s">
        <v>347</v>
      </c>
      <c r="P461" s="248" t="str">
        <f>IFERROR(VLOOKUP(C461,TD!$B$33:$F$37,2,0)," ")</f>
        <v>NA</v>
      </c>
      <c r="Q461" s="248" t="str">
        <f>IFERROR(VLOOKUP(C461,TD!$B$33:$F$37,3,0)," ")</f>
        <v>NA</v>
      </c>
      <c r="R461" s="248" t="str">
        <f>IFERROR(VLOOKUP(C461,TD!$B$33:$F$37,4,0)," ")</f>
        <v>NA</v>
      </c>
      <c r="S461" s="51" t="s">
        <v>406</v>
      </c>
      <c r="T461" s="248" t="str">
        <f>IFERROR(VLOOKUP(S461,TD!$J$34:$K$44,2,0)," ")</f>
        <v>N/A</v>
      </c>
      <c r="U461" s="249" t="str">
        <f>CONCATENATE(S461,"-",T461)</f>
        <v>N/A-N/A</v>
      </c>
      <c r="V461" s="51" t="s">
        <v>406</v>
      </c>
      <c r="W461" s="248" t="str">
        <f>IFERROR(VLOOKUP(V461,TD!$N$34:$O$46,2,0)," ")</f>
        <v>N/A</v>
      </c>
      <c r="X461" s="249" t="str">
        <f>CONCATENATE(V461,"_",W461)</f>
        <v>N/A_N/A</v>
      </c>
      <c r="Y461" s="249" t="str">
        <f>CONCATENATE(U461," ",X461)</f>
        <v>N/A-N/A N/A_N/A</v>
      </c>
      <c r="Z461" s="248" t="str">
        <f>CONCATENATE(P461,Q461,R461,S461,V461)</f>
        <v>NANANAN/AN/A</v>
      </c>
      <c r="AA461" s="248" t="str">
        <f>IFERROR(VLOOKUP(Y461,TD!$K$47:$L$65,2,0)," ")</f>
        <v>N/A</v>
      </c>
      <c r="AB461" s="53" t="s">
        <v>663</v>
      </c>
      <c r="AC461" s="250" t="s">
        <v>204</v>
      </c>
    </row>
    <row r="462" spans="2:29" s="28" customFormat="1" ht="84" x14ac:dyDescent="0.35">
      <c r="B462" s="77">
        <v>20250503</v>
      </c>
      <c r="C462" s="50" t="s">
        <v>346</v>
      </c>
      <c r="D462" s="246" t="s">
        <v>166</v>
      </c>
      <c r="E462" s="51" t="s">
        <v>558</v>
      </c>
      <c r="F462" s="246" t="s">
        <v>639</v>
      </c>
      <c r="G462" s="246" t="s">
        <v>119</v>
      </c>
      <c r="H462" s="93" t="s">
        <v>640</v>
      </c>
      <c r="I462" s="247">
        <v>2</v>
      </c>
      <c r="J462" s="247">
        <v>3</v>
      </c>
      <c r="K462" s="52">
        <v>0</v>
      </c>
      <c r="L462" s="53">
        <v>29250000</v>
      </c>
      <c r="M462" s="246" t="s">
        <v>172</v>
      </c>
      <c r="N462" s="53" t="s">
        <v>100</v>
      </c>
      <c r="O462" s="51" t="s">
        <v>347</v>
      </c>
      <c r="P462" s="248" t="str">
        <f>IFERROR(VLOOKUP(C462,TD!$B$33:$F$37,2,0)," ")</f>
        <v>NA</v>
      </c>
      <c r="Q462" s="248" t="str">
        <f>IFERROR(VLOOKUP(C462,TD!$B$33:$F$37,3,0)," ")</f>
        <v>NA</v>
      </c>
      <c r="R462" s="248" t="str">
        <f>IFERROR(VLOOKUP(C462,TD!$B$33:$F$37,4,0)," ")</f>
        <v>NA</v>
      </c>
      <c r="S462" s="51" t="s">
        <v>406</v>
      </c>
      <c r="T462" s="248" t="str">
        <f>IFERROR(VLOOKUP(S462,TD!$J$34:$K$44,2,0)," ")</f>
        <v>N/A</v>
      </c>
      <c r="U462" s="249" t="str">
        <f>CONCATENATE(S462,"-",T462)</f>
        <v>N/A-N/A</v>
      </c>
      <c r="V462" s="51" t="s">
        <v>406</v>
      </c>
      <c r="W462" s="248" t="str">
        <f>IFERROR(VLOOKUP(V462,TD!$N$34:$O$46,2,0)," ")</f>
        <v>N/A</v>
      </c>
      <c r="X462" s="249" t="str">
        <f>CONCATENATE(V462,"_",W462)</f>
        <v>N/A_N/A</v>
      </c>
      <c r="Y462" s="249" t="str">
        <f>CONCATENATE(U462," ",X462)</f>
        <v>N/A-N/A N/A_N/A</v>
      </c>
      <c r="Z462" s="248" t="str">
        <f>CONCATENATE(P462,Q462,R462,S462,V462)</f>
        <v>NANANAN/AN/A</v>
      </c>
      <c r="AA462" s="248" t="str">
        <f>IFERROR(VLOOKUP(Y462,TD!$K$47:$L$65,2,0)," ")</f>
        <v>N/A</v>
      </c>
      <c r="AB462" s="53" t="s">
        <v>663</v>
      </c>
      <c r="AC462" s="250" t="s">
        <v>205</v>
      </c>
    </row>
    <row r="463" spans="2:29" s="28" customFormat="1" ht="70" x14ac:dyDescent="0.35">
      <c r="B463" s="127">
        <v>20250504</v>
      </c>
      <c r="C463" s="50" t="s">
        <v>208</v>
      </c>
      <c r="D463" s="246" t="s">
        <v>166</v>
      </c>
      <c r="E463" s="51" t="s">
        <v>558</v>
      </c>
      <c r="F463" s="246" t="s">
        <v>580</v>
      </c>
      <c r="G463" s="246" t="s">
        <v>96</v>
      </c>
      <c r="H463" s="93" t="s">
        <v>627</v>
      </c>
      <c r="I463" s="247">
        <v>4</v>
      </c>
      <c r="J463" s="247">
        <v>3</v>
      </c>
      <c r="K463" s="52">
        <v>0</v>
      </c>
      <c r="L463" s="53">
        <v>247865400</v>
      </c>
      <c r="M463" s="246" t="s">
        <v>464</v>
      </c>
      <c r="N463" s="125" t="s">
        <v>90</v>
      </c>
      <c r="O463" s="51" t="s">
        <v>218</v>
      </c>
      <c r="P463" s="248" t="str">
        <f>IFERROR(VLOOKUP(C463,TD!$B$33:$F$37,2,0)," ")</f>
        <v>O230117</v>
      </c>
      <c r="Q463" s="248" t="str">
        <f>IFERROR(VLOOKUP(C463,TD!$B$33:$F$37,3,0)," ")</f>
        <v>4599</v>
      </c>
      <c r="R463" s="248">
        <f>IFERROR(VLOOKUP(C463,TD!$B$33:$F$37,4,0)," ")</f>
        <v>20240207</v>
      </c>
      <c r="S463" s="51" t="s">
        <v>185</v>
      </c>
      <c r="T463" s="248" t="str">
        <f>IFERROR(VLOOKUP(S463,TD!$J$34:$K$44,2,0)," ")</f>
        <v>Infraestructura física, mantenimiento y dotación (Sedes construidas, mantenidas reforzadas)</v>
      </c>
      <c r="U463" s="249" t="str">
        <f>CONCATENATE(S463,"-",T463)</f>
        <v>08-Infraestructura física, mantenimiento y dotación (Sedes construidas, mantenidas reforzadas)</v>
      </c>
      <c r="V463" s="51" t="s">
        <v>238</v>
      </c>
      <c r="W463" s="248" t="str">
        <f>IFERROR(VLOOKUP(V463,TD!$N$34:$O$46,2,0)," ")</f>
        <v>Sedes mantenidas</v>
      </c>
      <c r="X463" s="249" t="str">
        <f>CONCATENATE(V463,"_",W463)</f>
        <v>016_Sedes mantenidas</v>
      </c>
      <c r="Y463" s="249" t="str">
        <f>CONCATENATE(U463," ",X463)</f>
        <v>08-Infraestructura física, mantenimiento y dotación (Sedes construidas, mantenidas reforzadas) 016_Sedes mantenidas</v>
      </c>
      <c r="Z463" s="248" t="str">
        <f>CONCATENATE(P463,Q463,R463,S463,V463)</f>
        <v>O23011745992024020708016</v>
      </c>
      <c r="AA463" s="248" t="str">
        <f>IFERROR(VLOOKUP(Y463,TD!$K$47:$L$65,2,0)," ")</f>
        <v>PM/0131/0108/45990160207</v>
      </c>
      <c r="AB463" s="53" t="s">
        <v>141</v>
      </c>
      <c r="AC463" s="250" t="s">
        <v>204</v>
      </c>
    </row>
    <row r="464" spans="2:29" s="28" customFormat="1" ht="112" x14ac:dyDescent="0.35">
      <c r="B464" s="127">
        <v>20250505</v>
      </c>
      <c r="C464" s="129" t="s">
        <v>208</v>
      </c>
      <c r="D464" s="251" t="s">
        <v>166</v>
      </c>
      <c r="E464" s="252" t="s">
        <v>558</v>
      </c>
      <c r="F464" s="251" t="s">
        <v>1301</v>
      </c>
      <c r="G464" s="251" t="s">
        <v>146</v>
      </c>
      <c r="H464" s="130" t="s">
        <v>940</v>
      </c>
      <c r="I464" s="253">
        <v>2</v>
      </c>
      <c r="J464" s="253">
        <v>9</v>
      </c>
      <c r="K464" s="126">
        <v>0</v>
      </c>
      <c r="L464" s="125">
        <v>40000000</v>
      </c>
      <c r="M464" s="251" t="s">
        <v>464</v>
      </c>
      <c r="N464" s="125" t="s">
        <v>100</v>
      </c>
      <c r="O464" s="252" t="s">
        <v>218</v>
      </c>
      <c r="P464" s="254" t="str">
        <f>IFERROR(VLOOKUP(C464,TD!$B$33:$F$37,2,0)," ")</f>
        <v>O230117</v>
      </c>
      <c r="Q464" s="254" t="str">
        <f>IFERROR(VLOOKUP(C464,TD!$B$33:$F$37,3,0)," ")</f>
        <v>4599</v>
      </c>
      <c r="R464" s="254">
        <f>IFERROR(VLOOKUP(C464,TD!$B$33:$F$37,4,0)," ")</f>
        <v>20240207</v>
      </c>
      <c r="S464" s="252" t="s">
        <v>185</v>
      </c>
      <c r="T464" s="254" t="str">
        <f>IFERROR(VLOOKUP(S464,TD!$J$34:$K$44,2,0)," ")</f>
        <v>Infraestructura física, mantenimiento y dotación (Sedes construidas, mantenidas reforzadas)</v>
      </c>
      <c r="U464" s="249" t="str">
        <f>CONCATENATE(S464,"-",T464)</f>
        <v>08-Infraestructura física, mantenimiento y dotación (Sedes construidas, mantenidas reforzadas)</v>
      </c>
      <c r="V464" s="252" t="s">
        <v>238</v>
      </c>
      <c r="W464" s="254" t="str">
        <f>IFERROR(VLOOKUP(V464,TD!$N$34:$O$46,2,0)," ")</f>
        <v>Sedes mantenidas</v>
      </c>
      <c r="X464" s="249" t="str">
        <f>CONCATENATE(V464,"_",W464)</f>
        <v>016_Sedes mantenidas</v>
      </c>
      <c r="Y464" s="249" t="str">
        <f>CONCATENATE(U464," ",X464)</f>
        <v>08-Infraestructura física, mantenimiento y dotación (Sedes construidas, mantenidas reforzadas) 016_Sedes mantenidas</v>
      </c>
      <c r="Z464" s="254" t="str">
        <f>CONCATENATE(P464,Q464,R464,S464,V464)</f>
        <v>O23011745992024020708016</v>
      </c>
      <c r="AA464" s="254" t="str">
        <f>IFERROR(VLOOKUP(Y464,TD!$K$47:$L$65,2,0)," ")</f>
        <v>PM/0131/0108/45990160207</v>
      </c>
      <c r="AB464" s="125" t="s">
        <v>147</v>
      </c>
      <c r="AC464" s="255" t="s">
        <v>204</v>
      </c>
    </row>
    <row r="465" spans="2:29" s="28" customFormat="1" ht="42" x14ac:dyDescent="0.35">
      <c r="B465" s="77">
        <v>20250507</v>
      </c>
      <c r="C465" s="50" t="s">
        <v>208</v>
      </c>
      <c r="D465" s="246" t="s">
        <v>166</v>
      </c>
      <c r="E465" s="51" t="s">
        <v>558</v>
      </c>
      <c r="F465" s="246" t="s">
        <v>939</v>
      </c>
      <c r="G465" s="246" t="s">
        <v>146</v>
      </c>
      <c r="H465" s="93">
        <v>73152108</v>
      </c>
      <c r="I465" s="247">
        <v>3</v>
      </c>
      <c r="J465" s="247">
        <v>8</v>
      </c>
      <c r="K465" s="52">
        <v>0</v>
      </c>
      <c r="L465" s="53">
        <v>15000000</v>
      </c>
      <c r="M465" s="246" t="s">
        <v>464</v>
      </c>
      <c r="N465" s="53" t="s">
        <v>100</v>
      </c>
      <c r="O465" s="51" t="s">
        <v>218</v>
      </c>
      <c r="P465" s="248" t="str">
        <f>IFERROR(VLOOKUP(C465,TD!$B$33:$F$37,2,0)," ")</f>
        <v>O230117</v>
      </c>
      <c r="Q465" s="248" t="str">
        <f>IFERROR(VLOOKUP(C465,TD!$B$33:$F$37,3,0)," ")</f>
        <v>4599</v>
      </c>
      <c r="R465" s="248">
        <f>IFERROR(VLOOKUP(C465,TD!$B$33:$F$37,4,0)," ")</f>
        <v>20240207</v>
      </c>
      <c r="S465" s="51" t="s">
        <v>185</v>
      </c>
      <c r="T465" s="248" t="str">
        <f>IFERROR(VLOOKUP(S465,TD!$J$34:$K$44,2,0)," ")</f>
        <v>Infraestructura física, mantenimiento y dotación (Sedes construidas, mantenidas reforzadas)</v>
      </c>
      <c r="U465" s="249" t="str">
        <f>CONCATENATE(S465,"-",T465)</f>
        <v>08-Infraestructura física, mantenimiento y dotación (Sedes construidas, mantenidas reforzadas)</v>
      </c>
      <c r="V465" s="51" t="s">
        <v>238</v>
      </c>
      <c r="W465" s="248" t="str">
        <f>IFERROR(VLOOKUP(V465,TD!$N$34:$O$46,2,0)," ")</f>
        <v>Sedes mantenidas</v>
      </c>
      <c r="X465" s="249" t="str">
        <f>CONCATENATE(V465,"_",W465)</f>
        <v>016_Sedes mantenidas</v>
      </c>
      <c r="Y465" s="249" t="str">
        <f>CONCATENATE(U465," ",X465)</f>
        <v>08-Infraestructura física, mantenimiento y dotación (Sedes construidas, mantenidas reforzadas) 016_Sedes mantenidas</v>
      </c>
      <c r="Z465" s="248" t="str">
        <f>CONCATENATE(P465,Q465,R465,S465,V465)</f>
        <v>O23011745992024020708016</v>
      </c>
      <c r="AA465" s="248" t="str">
        <f>IFERROR(VLOOKUP(Y465,TD!$K$47:$L$65,2,0)," ")</f>
        <v>PM/0131/0108/45990160207</v>
      </c>
      <c r="AB465" s="53" t="s">
        <v>147</v>
      </c>
      <c r="AC465" s="250" t="s">
        <v>204</v>
      </c>
    </row>
    <row r="466" spans="2:29" s="28" customFormat="1" ht="56" x14ac:dyDescent="0.35">
      <c r="B466" s="77">
        <v>20250508</v>
      </c>
      <c r="C466" s="50" t="s">
        <v>208</v>
      </c>
      <c r="D466" s="246" t="s">
        <v>166</v>
      </c>
      <c r="E466" s="51" t="s">
        <v>558</v>
      </c>
      <c r="F466" s="246" t="s">
        <v>593</v>
      </c>
      <c r="G466" s="246" t="s">
        <v>119</v>
      </c>
      <c r="H466" s="93" t="s">
        <v>642</v>
      </c>
      <c r="I466" s="247">
        <v>2</v>
      </c>
      <c r="J466" s="247">
        <v>8</v>
      </c>
      <c r="K466" s="52">
        <v>0</v>
      </c>
      <c r="L466" s="53">
        <v>243061556</v>
      </c>
      <c r="M466" s="246" t="s">
        <v>464</v>
      </c>
      <c r="N466" s="53" t="s">
        <v>123</v>
      </c>
      <c r="O466" s="51" t="s">
        <v>218</v>
      </c>
      <c r="P466" s="248" t="str">
        <f>IFERROR(VLOOKUP(C466,TD!$B$33:$F$37,2,0)," ")</f>
        <v>O230117</v>
      </c>
      <c r="Q466" s="248" t="str">
        <f>IFERROR(VLOOKUP(C466,TD!$B$33:$F$37,3,0)," ")</f>
        <v>4599</v>
      </c>
      <c r="R466" s="248">
        <f>IFERROR(VLOOKUP(C466,TD!$B$33:$F$37,4,0)," ")</f>
        <v>20240207</v>
      </c>
      <c r="S466" s="51" t="s">
        <v>185</v>
      </c>
      <c r="T466" s="248" t="str">
        <f>IFERROR(VLOOKUP(S466,TD!$J$34:$K$44,2,0)," ")</f>
        <v>Infraestructura física, mantenimiento y dotación (Sedes construidas, mantenidas reforzadas)</v>
      </c>
      <c r="U466" s="249" t="str">
        <f>CONCATENATE(S466,"-",T466)</f>
        <v>08-Infraestructura física, mantenimiento y dotación (Sedes construidas, mantenidas reforzadas)</v>
      </c>
      <c r="V466" s="51" t="s">
        <v>238</v>
      </c>
      <c r="W466" s="248" t="str">
        <f>IFERROR(VLOOKUP(V466,TD!$N$34:$O$46,2,0)," ")</f>
        <v>Sedes mantenidas</v>
      </c>
      <c r="X466" s="249" t="str">
        <f>CONCATENATE(V466,"_",W466)</f>
        <v>016_Sedes mantenidas</v>
      </c>
      <c r="Y466" s="249" t="str">
        <f>CONCATENATE(U466," ",X466)</f>
        <v>08-Infraestructura física, mantenimiento y dotación (Sedes construidas, mantenidas reforzadas) 016_Sedes mantenidas</v>
      </c>
      <c r="Z466" s="248" t="str">
        <f>CONCATENATE(P466,Q466,R466,S466,V466)</f>
        <v>O23011745992024020708016</v>
      </c>
      <c r="AA466" s="248" t="str">
        <f>IFERROR(VLOOKUP(Y466,TD!$K$47:$L$65,2,0)," ")</f>
        <v>PM/0131/0108/45990160207</v>
      </c>
      <c r="AB466" s="53" t="s">
        <v>147</v>
      </c>
      <c r="AC466" s="250" t="s">
        <v>204</v>
      </c>
    </row>
    <row r="467" spans="2:29" s="28" customFormat="1" ht="42" x14ac:dyDescent="0.35">
      <c r="B467" s="127">
        <v>20250510</v>
      </c>
      <c r="C467" s="129" t="s">
        <v>208</v>
      </c>
      <c r="D467" s="251" t="s">
        <v>166</v>
      </c>
      <c r="E467" s="252" t="s">
        <v>558</v>
      </c>
      <c r="F467" s="251" t="s">
        <v>867</v>
      </c>
      <c r="G467" s="251" t="s">
        <v>146</v>
      </c>
      <c r="H467" s="130" t="s">
        <v>643</v>
      </c>
      <c r="I467" s="253">
        <v>2</v>
      </c>
      <c r="J467" s="253">
        <v>8</v>
      </c>
      <c r="K467" s="126">
        <v>0</v>
      </c>
      <c r="L467" s="125">
        <v>400000000</v>
      </c>
      <c r="M467" s="251" t="s">
        <v>464</v>
      </c>
      <c r="N467" s="125" t="s">
        <v>85</v>
      </c>
      <c r="O467" s="252" t="s">
        <v>218</v>
      </c>
      <c r="P467" s="254" t="str">
        <f>IFERROR(VLOOKUP(C467,TD!$B$33:$F$37,2,0)," ")</f>
        <v>O230117</v>
      </c>
      <c r="Q467" s="254" t="str">
        <f>IFERROR(VLOOKUP(C467,TD!$B$33:$F$37,3,0)," ")</f>
        <v>4599</v>
      </c>
      <c r="R467" s="254">
        <f>IFERROR(VLOOKUP(C467,TD!$B$33:$F$37,4,0)," ")</f>
        <v>20240207</v>
      </c>
      <c r="S467" s="252" t="s">
        <v>185</v>
      </c>
      <c r="T467" s="254" t="str">
        <f>IFERROR(VLOOKUP(S467,TD!$J$34:$K$44,2,0)," ")</f>
        <v>Infraestructura física, mantenimiento y dotación (Sedes construidas, mantenidas reforzadas)</v>
      </c>
      <c r="U467" s="249" t="str">
        <f>CONCATENATE(S467,"-",T467)</f>
        <v>08-Infraestructura física, mantenimiento y dotación (Sedes construidas, mantenidas reforzadas)</v>
      </c>
      <c r="V467" s="252" t="s">
        <v>238</v>
      </c>
      <c r="W467" s="254" t="str">
        <f>IFERROR(VLOOKUP(V467,TD!$N$34:$O$46,2,0)," ")</f>
        <v>Sedes mantenidas</v>
      </c>
      <c r="X467" s="249" t="str">
        <f>CONCATENATE(V467,"_",W467)</f>
        <v>016_Sedes mantenidas</v>
      </c>
      <c r="Y467" s="249" t="str">
        <f>CONCATENATE(U467," ",X467)</f>
        <v>08-Infraestructura física, mantenimiento y dotación (Sedes construidas, mantenidas reforzadas) 016_Sedes mantenidas</v>
      </c>
      <c r="Z467" s="254" t="str">
        <f>CONCATENATE(P467,Q467,R467,S467,V467)</f>
        <v>O23011745992024020708016</v>
      </c>
      <c r="AA467" s="254" t="str">
        <f>IFERROR(VLOOKUP(Y467,TD!$K$47:$L$65,2,0)," ")</f>
        <v>PM/0131/0108/45990160207</v>
      </c>
      <c r="AB467" s="53" t="s">
        <v>102</v>
      </c>
      <c r="AC467" s="255" t="s">
        <v>205</v>
      </c>
    </row>
    <row r="468" spans="2:29" s="28" customFormat="1" ht="56" x14ac:dyDescent="0.35">
      <c r="B468" s="77">
        <v>20250511</v>
      </c>
      <c r="C468" s="50" t="s">
        <v>208</v>
      </c>
      <c r="D468" s="246" t="s">
        <v>166</v>
      </c>
      <c r="E468" s="51" t="s">
        <v>558</v>
      </c>
      <c r="F468" s="246" t="s">
        <v>854</v>
      </c>
      <c r="G468" s="246" t="s">
        <v>140</v>
      </c>
      <c r="H468" s="93" t="s">
        <v>644</v>
      </c>
      <c r="I468" s="247">
        <v>2</v>
      </c>
      <c r="J468" s="247">
        <v>8</v>
      </c>
      <c r="K468" s="52">
        <v>0</v>
      </c>
      <c r="L468" s="53">
        <f>181681869-81681885</f>
        <v>99999984</v>
      </c>
      <c r="M468" s="246" t="s">
        <v>464</v>
      </c>
      <c r="N468" s="53" t="s">
        <v>108</v>
      </c>
      <c r="O468" s="51" t="s">
        <v>218</v>
      </c>
      <c r="P468" s="248" t="str">
        <f>IFERROR(VLOOKUP(C468,TD!$B$33:$F$37,2,0)," ")</f>
        <v>O230117</v>
      </c>
      <c r="Q468" s="248" t="str">
        <f>IFERROR(VLOOKUP(C468,TD!$B$33:$F$37,3,0)," ")</f>
        <v>4599</v>
      </c>
      <c r="R468" s="248">
        <f>IFERROR(VLOOKUP(C468,TD!$B$33:$F$37,4,0)," ")</f>
        <v>20240207</v>
      </c>
      <c r="S468" s="51" t="s">
        <v>185</v>
      </c>
      <c r="T468" s="248" t="str">
        <f>IFERROR(VLOOKUP(S468,TD!$J$34:$K$44,2,0)," ")</f>
        <v>Infraestructura física, mantenimiento y dotación (Sedes construidas, mantenidas reforzadas)</v>
      </c>
      <c r="U468" s="249" t="str">
        <f>CONCATENATE(S468,"-",T468)</f>
        <v>08-Infraestructura física, mantenimiento y dotación (Sedes construidas, mantenidas reforzadas)</v>
      </c>
      <c r="V468" s="51" t="s">
        <v>238</v>
      </c>
      <c r="W468" s="248" t="str">
        <f>IFERROR(VLOOKUP(V468,TD!$N$34:$O$46,2,0)," ")</f>
        <v>Sedes mantenidas</v>
      </c>
      <c r="X468" s="249" t="str">
        <f>CONCATENATE(V468,"_",W468)</f>
        <v>016_Sedes mantenidas</v>
      </c>
      <c r="Y468" s="249" t="str">
        <f>CONCATENATE(U468," ",X468)</f>
        <v>08-Infraestructura física, mantenimiento y dotación (Sedes construidas, mantenidas reforzadas) 016_Sedes mantenidas</v>
      </c>
      <c r="Z468" s="248" t="str">
        <f>CONCATENATE(P468,Q468,R468,S468,V468)</f>
        <v>O23011745992024020708016</v>
      </c>
      <c r="AA468" s="248" t="str">
        <f>IFERROR(VLOOKUP(Y468,TD!$K$47:$L$65,2,0)," ")</f>
        <v>PM/0131/0108/45990160207</v>
      </c>
      <c r="AB468" s="53" t="s">
        <v>102</v>
      </c>
      <c r="AC468" s="250" t="s">
        <v>205</v>
      </c>
    </row>
    <row r="469" spans="2:29" s="28" customFormat="1" ht="42" x14ac:dyDescent="0.35">
      <c r="B469" s="127">
        <v>20250515</v>
      </c>
      <c r="C469" s="50" t="s">
        <v>208</v>
      </c>
      <c r="D469" s="246" t="s">
        <v>166</v>
      </c>
      <c r="E469" s="51" t="s">
        <v>558</v>
      </c>
      <c r="F469" s="246" t="s">
        <v>645</v>
      </c>
      <c r="G469" s="246" t="s">
        <v>96</v>
      </c>
      <c r="H469" s="93" t="s">
        <v>627</v>
      </c>
      <c r="I469" s="247">
        <v>2</v>
      </c>
      <c r="J469" s="247">
        <v>4</v>
      </c>
      <c r="K469" s="52">
        <v>0</v>
      </c>
      <c r="L469" s="53">
        <f>100000000+55178416-38743342</f>
        <v>116435074</v>
      </c>
      <c r="M469" s="246" t="s">
        <v>464</v>
      </c>
      <c r="N469" s="53" t="s">
        <v>85</v>
      </c>
      <c r="O469" s="51" t="s">
        <v>218</v>
      </c>
      <c r="P469" s="248" t="str">
        <f>IFERROR(VLOOKUP(C469,TD!$B$33:$F$37,2,0)," ")</f>
        <v>O230117</v>
      </c>
      <c r="Q469" s="248" t="str">
        <f>IFERROR(VLOOKUP(C469,TD!$B$33:$F$37,3,0)," ")</f>
        <v>4599</v>
      </c>
      <c r="R469" s="248">
        <f>IFERROR(VLOOKUP(C469,TD!$B$33:$F$37,4,0)," ")</f>
        <v>20240207</v>
      </c>
      <c r="S469" s="51" t="s">
        <v>185</v>
      </c>
      <c r="T469" s="248" t="str">
        <f>IFERROR(VLOOKUP(S469,TD!$J$34:$K$44,2,0)," ")</f>
        <v>Infraestructura física, mantenimiento y dotación (Sedes construidas, mantenidas reforzadas)</v>
      </c>
      <c r="U469" s="249" t="str">
        <f>CONCATENATE(S469,"-",T469)</f>
        <v>08-Infraestructura física, mantenimiento y dotación (Sedes construidas, mantenidas reforzadas)</v>
      </c>
      <c r="V469" s="51" t="s">
        <v>238</v>
      </c>
      <c r="W469" s="248" t="str">
        <f>IFERROR(VLOOKUP(V469,TD!$N$34:$O$46,2,0)," ")</f>
        <v>Sedes mantenidas</v>
      </c>
      <c r="X469" s="249" t="str">
        <f>CONCATENATE(V469,"_",W469)</f>
        <v>016_Sedes mantenidas</v>
      </c>
      <c r="Y469" s="249" t="str">
        <f>CONCATENATE(U469," ",X469)</f>
        <v>08-Infraestructura física, mantenimiento y dotación (Sedes construidas, mantenidas reforzadas) 016_Sedes mantenidas</v>
      </c>
      <c r="Z469" s="248" t="str">
        <f>CONCATENATE(P469,Q469,R469,S469,V469)</f>
        <v>O23011745992024020708016</v>
      </c>
      <c r="AA469" s="248" t="str">
        <f>IFERROR(VLOOKUP(Y469,TD!$K$47:$L$65,2,0)," ")</f>
        <v>PM/0131/0108/45990160207</v>
      </c>
      <c r="AB469" s="53" t="s">
        <v>141</v>
      </c>
      <c r="AC469" s="250" t="s">
        <v>205</v>
      </c>
    </row>
    <row r="470" spans="2:29" s="28" customFormat="1" ht="70" x14ac:dyDescent="0.35">
      <c r="B470" s="77">
        <v>20250516</v>
      </c>
      <c r="C470" s="50" t="s">
        <v>208</v>
      </c>
      <c r="D470" s="246" t="s">
        <v>166</v>
      </c>
      <c r="E470" s="51" t="s">
        <v>558</v>
      </c>
      <c r="F470" s="246" t="s">
        <v>855</v>
      </c>
      <c r="G470" s="246" t="s">
        <v>119</v>
      </c>
      <c r="H470" s="93" t="s">
        <v>856</v>
      </c>
      <c r="I470" s="247">
        <v>1</v>
      </c>
      <c r="J470" s="247">
        <v>2</v>
      </c>
      <c r="K470" s="52">
        <v>0</v>
      </c>
      <c r="L470" s="53">
        <v>43235341</v>
      </c>
      <c r="M470" s="246" t="s">
        <v>464</v>
      </c>
      <c r="N470" s="53" t="s">
        <v>100</v>
      </c>
      <c r="O470" s="51" t="s">
        <v>218</v>
      </c>
      <c r="P470" s="248" t="str">
        <f>IFERROR(VLOOKUP(C470,TD!$B$33:$F$37,2,0)," ")</f>
        <v>O230117</v>
      </c>
      <c r="Q470" s="248" t="str">
        <f>IFERROR(VLOOKUP(C470,TD!$B$33:$F$37,3,0)," ")</f>
        <v>4599</v>
      </c>
      <c r="R470" s="248">
        <f>IFERROR(VLOOKUP(C470,TD!$B$33:$F$37,4,0)," ")</f>
        <v>20240207</v>
      </c>
      <c r="S470" s="51" t="s">
        <v>185</v>
      </c>
      <c r="T470" s="248" t="str">
        <f>IFERROR(VLOOKUP(S470,TD!$J$34:$K$44,2,0)," ")</f>
        <v>Infraestructura física, mantenimiento y dotación (Sedes construidas, mantenidas reforzadas)</v>
      </c>
      <c r="U470" s="249" t="str">
        <f>CONCATENATE(S470,"-",T470)</f>
        <v>08-Infraestructura física, mantenimiento y dotación (Sedes construidas, mantenidas reforzadas)</v>
      </c>
      <c r="V470" s="51" t="s">
        <v>238</v>
      </c>
      <c r="W470" s="248" t="str">
        <f>IFERROR(VLOOKUP(V470,TD!$N$34:$O$46,2,0)," ")</f>
        <v>Sedes mantenidas</v>
      </c>
      <c r="X470" s="249" t="str">
        <f>CONCATENATE(V470,"_",W470)</f>
        <v>016_Sedes mantenidas</v>
      </c>
      <c r="Y470" s="249" t="str">
        <f>CONCATENATE(U470," ",X470)</f>
        <v>08-Infraestructura física, mantenimiento y dotación (Sedes construidas, mantenidas reforzadas) 016_Sedes mantenidas</v>
      </c>
      <c r="Z470" s="248" t="str">
        <f>CONCATENATE(P470,Q470,R470,S470,V470)</f>
        <v>O23011745992024020708016</v>
      </c>
      <c r="AA470" s="248" t="str">
        <f>IFERROR(VLOOKUP(Y470,TD!$K$47:$L$65,2,0)," ")</f>
        <v>PM/0131/0108/45990160207</v>
      </c>
      <c r="AB470" s="53" t="s">
        <v>87</v>
      </c>
      <c r="AC470" s="250" t="s">
        <v>204</v>
      </c>
    </row>
    <row r="471" spans="2:29" s="28" customFormat="1" ht="42" x14ac:dyDescent="0.35">
      <c r="B471" s="127">
        <v>20250517</v>
      </c>
      <c r="C471" s="129" t="s">
        <v>209</v>
      </c>
      <c r="D471" s="251" t="s">
        <v>166</v>
      </c>
      <c r="E471" s="252" t="s">
        <v>558</v>
      </c>
      <c r="F471" s="251" t="s">
        <v>1344</v>
      </c>
      <c r="G471" s="251" t="s">
        <v>101</v>
      </c>
      <c r="H471" s="130" t="s">
        <v>596</v>
      </c>
      <c r="I471" s="253">
        <v>11</v>
      </c>
      <c r="J471" s="253">
        <v>7</v>
      </c>
      <c r="K471" s="126">
        <v>0</v>
      </c>
      <c r="L471" s="125">
        <v>300000000</v>
      </c>
      <c r="M471" s="251" t="s">
        <v>464</v>
      </c>
      <c r="N471" s="125" t="s">
        <v>108</v>
      </c>
      <c r="O471" s="252" t="s">
        <v>228</v>
      </c>
      <c r="P471" s="254" t="str">
        <f>IFERROR(VLOOKUP(C471,TD!$B$33:$F$37,2,0)," ")</f>
        <v>O230117</v>
      </c>
      <c r="Q471" s="254" t="str">
        <f>IFERROR(VLOOKUP(C471,TD!$B$33:$F$37,3,0)," ")</f>
        <v>4503</v>
      </c>
      <c r="R471" s="254">
        <f>IFERROR(VLOOKUP(C471,TD!$B$33:$F$37,4,0)," ")</f>
        <v>20240255</v>
      </c>
      <c r="S471" s="252" t="s">
        <v>185</v>
      </c>
      <c r="T471" s="254" t="str">
        <f>IFERROR(VLOOKUP(S471,TD!$J$34:$K$44,2,0)," ")</f>
        <v>Infraestructura física, mantenimiento y dotación (Sedes construidas, mantenidas reforzadas)</v>
      </c>
      <c r="U471" s="249" t="str">
        <f>CONCATENATE(S471,"-",T471)</f>
        <v>08-Infraestructura física, mantenimiento y dotación (Sedes construidas, mantenidas reforzadas)</v>
      </c>
      <c r="V471" s="252" t="s">
        <v>237</v>
      </c>
      <c r="W471" s="254" t="str">
        <f>IFERROR(VLOOKUP(V471,TD!$N$34:$O$46,2,0)," ")</f>
        <v>Estaciones de bomberos construidas</v>
      </c>
      <c r="X471" s="249" t="str">
        <f>CONCATENATE(V471,"_",W471)</f>
        <v>015_Estaciones de bomberos construidas</v>
      </c>
      <c r="Y471" s="249" t="str">
        <f>CONCATENATE(U471," ",X471)</f>
        <v>08-Infraestructura física, mantenimiento y dotación (Sedes construidas, mantenidas reforzadas) 015_Estaciones de bomberos construidas</v>
      </c>
      <c r="Z471" s="254" t="str">
        <f>CONCATENATE(P471,Q471,R471,S471,V471)</f>
        <v>O23011745032024025508015</v>
      </c>
      <c r="AA471" s="254" t="str">
        <f>IFERROR(VLOOKUP(Y471,TD!$K$47:$L$65,2,0)," ")</f>
        <v>PM/0131/0108/45030150255</v>
      </c>
      <c r="AB471" s="125" t="s">
        <v>102</v>
      </c>
      <c r="AC471" s="255" t="s">
        <v>204</v>
      </c>
    </row>
    <row r="472" spans="2:29" s="28" customFormat="1" ht="56" x14ac:dyDescent="0.35">
      <c r="B472" s="127">
        <v>20250518</v>
      </c>
      <c r="C472" s="129" t="s">
        <v>209</v>
      </c>
      <c r="D472" s="251" t="s">
        <v>166</v>
      </c>
      <c r="E472" s="252" t="s">
        <v>558</v>
      </c>
      <c r="F472" s="251" t="s">
        <v>1345</v>
      </c>
      <c r="G472" s="251" t="s">
        <v>140</v>
      </c>
      <c r="H472" s="130" t="s">
        <v>594</v>
      </c>
      <c r="I472" s="253">
        <v>11</v>
      </c>
      <c r="J472" s="253">
        <v>7</v>
      </c>
      <c r="K472" s="126">
        <v>0</v>
      </c>
      <c r="L472" s="125">
        <v>74000000</v>
      </c>
      <c r="M472" s="251" t="s">
        <v>464</v>
      </c>
      <c r="N472" s="125" t="s">
        <v>108</v>
      </c>
      <c r="O472" s="252" t="s">
        <v>228</v>
      </c>
      <c r="P472" s="254" t="str">
        <f>IFERROR(VLOOKUP(C472,TD!$B$33:$F$37,2,0)," ")</f>
        <v>O230117</v>
      </c>
      <c r="Q472" s="254" t="str">
        <f>IFERROR(VLOOKUP(C472,TD!$B$33:$F$37,3,0)," ")</f>
        <v>4503</v>
      </c>
      <c r="R472" s="254">
        <f>IFERROR(VLOOKUP(C472,TD!$B$33:$F$37,4,0)," ")</f>
        <v>20240255</v>
      </c>
      <c r="S472" s="252" t="s">
        <v>185</v>
      </c>
      <c r="T472" s="254" t="str">
        <f>IFERROR(VLOOKUP(S472,TD!$J$34:$K$44,2,0)," ")</f>
        <v>Infraestructura física, mantenimiento y dotación (Sedes construidas, mantenidas reforzadas)</v>
      </c>
      <c r="U472" s="249" t="str">
        <f>CONCATENATE(S472,"-",T472)</f>
        <v>08-Infraestructura física, mantenimiento y dotación (Sedes construidas, mantenidas reforzadas)</v>
      </c>
      <c r="V472" s="252" t="s">
        <v>237</v>
      </c>
      <c r="W472" s="254" t="str">
        <f>IFERROR(VLOOKUP(V472,TD!$N$34:$O$46,2,0)," ")</f>
        <v>Estaciones de bomberos construidas</v>
      </c>
      <c r="X472" s="249" t="str">
        <f>CONCATENATE(V472,"_",W472)</f>
        <v>015_Estaciones de bomberos construidas</v>
      </c>
      <c r="Y472" s="249" t="str">
        <f>CONCATENATE(U472," ",X472)</f>
        <v>08-Infraestructura física, mantenimiento y dotación (Sedes construidas, mantenidas reforzadas) 015_Estaciones de bomberos construidas</v>
      </c>
      <c r="Z472" s="254" t="str">
        <f>CONCATENATE(P472,Q472,R472,S472,V472)</f>
        <v>O23011745032024025508015</v>
      </c>
      <c r="AA472" s="254" t="str">
        <f>IFERROR(VLOOKUP(Y472,TD!$K$47:$L$65,2,0)," ")</f>
        <v>PM/0131/0108/45030150255</v>
      </c>
      <c r="AB472" s="125" t="s">
        <v>102</v>
      </c>
      <c r="AC472" s="255" t="s">
        <v>204</v>
      </c>
    </row>
    <row r="473" spans="2:29" s="28" customFormat="1" ht="56" x14ac:dyDescent="0.35">
      <c r="B473" s="77">
        <v>20250519</v>
      </c>
      <c r="C473" s="50" t="s">
        <v>209</v>
      </c>
      <c r="D473" s="246" t="s">
        <v>166</v>
      </c>
      <c r="E473" s="51" t="s">
        <v>558</v>
      </c>
      <c r="F473" s="246" t="s">
        <v>957</v>
      </c>
      <c r="G473" s="246" t="s">
        <v>101</v>
      </c>
      <c r="H473" s="93" t="s">
        <v>596</v>
      </c>
      <c r="I473" s="247">
        <v>4</v>
      </c>
      <c r="J473" s="247">
        <v>10</v>
      </c>
      <c r="K473" s="52">
        <v>0</v>
      </c>
      <c r="L473" s="53">
        <f>300000000-238</f>
        <v>299999762</v>
      </c>
      <c r="M473" s="246" t="s">
        <v>464</v>
      </c>
      <c r="N473" s="53" t="s">
        <v>108</v>
      </c>
      <c r="O473" s="51" t="s">
        <v>227</v>
      </c>
      <c r="P473" s="248" t="str">
        <f>IFERROR(VLOOKUP(C473,TD!$B$33:$F$37,2,0)," ")</f>
        <v>O230117</v>
      </c>
      <c r="Q473" s="248" t="str">
        <f>IFERROR(VLOOKUP(C473,TD!$B$33:$F$37,3,0)," ")</f>
        <v>4503</v>
      </c>
      <c r="R473" s="248">
        <f>IFERROR(VLOOKUP(C473,TD!$B$33:$F$37,4,0)," ")</f>
        <v>20240255</v>
      </c>
      <c r="S473" s="51" t="s">
        <v>185</v>
      </c>
      <c r="T473" s="248" t="str">
        <f>IFERROR(VLOOKUP(S473,TD!$J$34:$K$44,2,0)," ")</f>
        <v>Infraestructura física, mantenimiento y dotación (Sedes construidas, mantenidas reforzadas)</v>
      </c>
      <c r="U473" s="249" t="str">
        <f>CONCATENATE(S473,"-",T473)</f>
        <v>08-Infraestructura física, mantenimiento y dotación (Sedes construidas, mantenidas reforzadas)</v>
      </c>
      <c r="V473" s="51" t="s">
        <v>236</v>
      </c>
      <c r="W473" s="248" t="str">
        <f>IFERROR(VLOOKUP(V473,TD!$N$34:$O$46,2,0)," ")</f>
        <v>Estaciones de bomberos adecuadas</v>
      </c>
      <c r="X473" s="249" t="str">
        <f>CONCATENATE(V473,"_",W473)</f>
        <v>014_Estaciones de bomberos adecuadas</v>
      </c>
      <c r="Y473" s="249" t="str">
        <f>CONCATENATE(U473," ",X473)</f>
        <v>08-Infraestructura física, mantenimiento y dotación (Sedes construidas, mantenidas reforzadas) 014_Estaciones de bomberos adecuadas</v>
      </c>
      <c r="Z473" s="248" t="str">
        <f>CONCATENATE(P473,Q473,R473,S473,V473)</f>
        <v>O23011745032024025508014</v>
      </c>
      <c r="AA473" s="248" t="str">
        <f>IFERROR(VLOOKUP(Y473,TD!$K$47:$L$65,2,0)," ")</f>
        <v>PM/0131/0108/45030140255</v>
      </c>
      <c r="AB473" s="53" t="s">
        <v>102</v>
      </c>
      <c r="AC473" s="250" t="s">
        <v>204</v>
      </c>
    </row>
    <row r="474" spans="2:29" s="28" customFormat="1" ht="70" x14ac:dyDescent="0.35">
      <c r="B474" s="77">
        <v>20250520</v>
      </c>
      <c r="C474" s="50" t="s">
        <v>209</v>
      </c>
      <c r="D474" s="246" t="s">
        <v>166</v>
      </c>
      <c r="E474" s="51" t="s">
        <v>558</v>
      </c>
      <c r="F474" s="246" t="s">
        <v>958</v>
      </c>
      <c r="G474" s="246" t="s">
        <v>140</v>
      </c>
      <c r="H474" s="93" t="s">
        <v>594</v>
      </c>
      <c r="I474" s="247">
        <v>4</v>
      </c>
      <c r="J474" s="247">
        <v>10</v>
      </c>
      <c r="K474" s="52">
        <v>0</v>
      </c>
      <c r="L474" s="53">
        <v>74000000</v>
      </c>
      <c r="M474" s="246" t="s">
        <v>464</v>
      </c>
      <c r="N474" s="53" t="s">
        <v>108</v>
      </c>
      <c r="O474" s="51" t="s">
        <v>227</v>
      </c>
      <c r="P474" s="248" t="str">
        <f>IFERROR(VLOOKUP(C474,TD!$B$33:$F$37,2,0)," ")</f>
        <v>O230117</v>
      </c>
      <c r="Q474" s="248" t="str">
        <f>IFERROR(VLOOKUP(C474,TD!$B$33:$F$37,3,0)," ")</f>
        <v>4503</v>
      </c>
      <c r="R474" s="248">
        <f>IFERROR(VLOOKUP(C474,TD!$B$33:$F$37,4,0)," ")</f>
        <v>20240255</v>
      </c>
      <c r="S474" s="51" t="s">
        <v>185</v>
      </c>
      <c r="T474" s="248" t="str">
        <f>IFERROR(VLOOKUP(S474,TD!$J$34:$K$44,2,0)," ")</f>
        <v>Infraestructura física, mantenimiento y dotación (Sedes construidas, mantenidas reforzadas)</v>
      </c>
      <c r="U474" s="249" t="str">
        <f>CONCATENATE(S474,"-",T474)</f>
        <v>08-Infraestructura física, mantenimiento y dotación (Sedes construidas, mantenidas reforzadas)</v>
      </c>
      <c r="V474" s="51" t="s">
        <v>236</v>
      </c>
      <c r="W474" s="248" t="str">
        <f>IFERROR(VLOOKUP(V474,TD!$N$34:$O$46,2,0)," ")</f>
        <v>Estaciones de bomberos adecuadas</v>
      </c>
      <c r="X474" s="249" t="str">
        <f>CONCATENATE(V474,"_",W474)</f>
        <v>014_Estaciones de bomberos adecuadas</v>
      </c>
      <c r="Y474" s="249" t="str">
        <f>CONCATENATE(U474," ",X474)</f>
        <v>08-Infraestructura física, mantenimiento y dotación (Sedes construidas, mantenidas reforzadas) 014_Estaciones de bomberos adecuadas</v>
      </c>
      <c r="Z474" s="248" t="str">
        <f>CONCATENATE(P474,Q474,R474,S474,V474)</f>
        <v>O23011745032024025508014</v>
      </c>
      <c r="AA474" s="248" t="str">
        <f>IFERROR(VLOOKUP(Y474,TD!$K$47:$L$65,2,0)," ")</f>
        <v>PM/0131/0108/45030140255</v>
      </c>
      <c r="AB474" s="53" t="s">
        <v>102</v>
      </c>
      <c r="AC474" s="250" t="s">
        <v>204</v>
      </c>
    </row>
    <row r="475" spans="2:29" s="28" customFormat="1" ht="70" x14ac:dyDescent="0.35">
      <c r="B475" s="77">
        <v>20250521</v>
      </c>
      <c r="C475" s="50" t="s">
        <v>209</v>
      </c>
      <c r="D475" s="246" t="s">
        <v>166</v>
      </c>
      <c r="E475" s="51" t="s">
        <v>558</v>
      </c>
      <c r="F475" s="246" t="s">
        <v>597</v>
      </c>
      <c r="G475" s="246" t="s">
        <v>101</v>
      </c>
      <c r="H475" s="93" t="s">
        <v>596</v>
      </c>
      <c r="I475" s="247">
        <v>4</v>
      </c>
      <c r="J475" s="247">
        <v>10</v>
      </c>
      <c r="K475" s="52">
        <v>0</v>
      </c>
      <c r="L475" s="53">
        <f>500000000-1066154</f>
        <v>498933846</v>
      </c>
      <c r="M475" s="246" t="s">
        <v>464</v>
      </c>
      <c r="N475" s="53" t="s">
        <v>108</v>
      </c>
      <c r="O475" s="51" t="s">
        <v>230</v>
      </c>
      <c r="P475" s="248" t="str">
        <f>IFERROR(VLOOKUP(C475,TD!$B$33:$F$37,2,0)," ")</f>
        <v>O230117</v>
      </c>
      <c r="Q475" s="248" t="str">
        <f>IFERROR(VLOOKUP(C475,TD!$B$33:$F$37,3,0)," ")</f>
        <v>4503</v>
      </c>
      <c r="R475" s="248">
        <f>IFERROR(VLOOKUP(C475,TD!$B$33:$F$37,4,0)," ")</f>
        <v>20240255</v>
      </c>
      <c r="S475" s="51" t="s">
        <v>185</v>
      </c>
      <c r="T475" s="248" t="str">
        <f>IFERROR(VLOOKUP(S475,TD!$J$34:$K$44,2,0)," ")</f>
        <v>Infraestructura física, mantenimiento y dotación (Sedes construidas, mantenidas reforzadas)</v>
      </c>
      <c r="U475" s="249" t="str">
        <f>CONCATENATE(S475,"-",T475)</f>
        <v>08-Infraestructura física, mantenimiento y dotación (Sedes construidas, mantenidas reforzadas)</v>
      </c>
      <c r="V475" s="51" t="s">
        <v>294</v>
      </c>
      <c r="W475" s="248" t="str">
        <f>IFERROR(VLOOKUP(V475,TD!$N$34:$O$46,2,0)," ")</f>
        <v>Documentos de lineamientos técnicos</v>
      </c>
      <c r="X475" s="249" t="str">
        <f>CONCATENATE(V475,"_",W475)</f>
        <v>031__Documentos de lineamientos técnicos</v>
      </c>
      <c r="Y475" s="249" t="str">
        <f>CONCATENATE(U475," ",X475)</f>
        <v>08-Infraestructura física, mantenimiento y dotación (Sedes construidas, mantenidas reforzadas) 031__Documentos de lineamientos técnicos</v>
      </c>
      <c r="Z475" s="248" t="str">
        <f>CONCATENATE(P475,Q475,R475,S475,V475)</f>
        <v>O23011745032024025508031_</v>
      </c>
      <c r="AA475" s="248" t="str">
        <f>IFERROR(VLOOKUP(Y475,TD!$K$47:$L$65,2,0)," ")</f>
        <v>PM/0131/0108/45030310255</v>
      </c>
      <c r="AB475" s="53" t="s">
        <v>102</v>
      </c>
      <c r="AC475" s="250" t="s">
        <v>204</v>
      </c>
    </row>
    <row r="476" spans="2:29" s="28" customFormat="1" ht="70" x14ac:dyDescent="0.35">
      <c r="B476" s="77">
        <v>20250522</v>
      </c>
      <c r="C476" s="50" t="s">
        <v>209</v>
      </c>
      <c r="D476" s="246" t="s">
        <v>166</v>
      </c>
      <c r="E476" s="51" t="s">
        <v>558</v>
      </c>
      <c r="F476" s="246" t="s">
        <v>1046</v>
      </c>
      <c r="G476" s="246" t="s">
        <v>140</v>
      </c>
      <c r="H476" s="93" t="s">
        <v>594</v>
      </c>
      <c r="I476" s="247">
        <v>4</v>
      </c>
      <c r="J476" s="247">
        <v>10</v>
      </c>
      <c r="K476" s="52">
        <v>0</v>
      </c>
      <c r="L476" s="53">
        <v>150000000</v>
      </c>
      <c r="M476" s="246" t="s">
        <v>464</v>
      </c>
      <c r="N476" s="53" t="s">
        <v>108</v>
      </c>
      <c r="O476" s="51" t="s">
        <v>230</v>
      </c>
      <c r="P476" s="248" t="str">
        <f>IFERROR(VLOOKUP(C476,TD!$B$33:$F$37,2,0)," ")</f>
        <v>O230117</v>
      </c>
      <c r="Q476" s="248" t="str">
        <f>IFERROR(VLOOKUP(C476,TD!$B$33:$F$37,3,0)," ")</f>
        <v>4503</v>
      </c>
      <c r="R476" s="248">
        <f>IFERROR(VLOOKUP(C476,TD!$B$33:$F$37,4,0)," ")</f>
        <v>20240255</v>
      </c>
      <c r="S476" s="51" t="s">
        <v>185</v>
      </c>
      <c r="T476" s="248" t="str">
        <f>IFERROR(VLOOKUP(S476,TD!$J$34:$K$44,2,0)," ")</f>
        <v>Infraestructura física, mantenimiento y dotación (Sedes construidas, mantenidas reforzadas)</v>
      </c>
      <c r="U476" s="249" t="str">
        <f>CONCATENATE(S476,"-",T476)</f>
        <v>08-Infraestructura física, mantenimiento y dotación (Sedes construidas, mantenidas reforzadas)</v>
      </c>
      <c r="V476" s="51" t="s">
        <v>294</v>
      </c>
      <c r="W476" s="248" t="str">
        <f>IFERROR(VLOOKUP(V476,TD!$N$34:$O$46,2,0)," ")</f>
        <v>Documentos de lineamientos técnicos</v>
      </c>
      <c r="X476" s="249" t="str">
        <f>CONCATENATE(V476,"_",W476)</f>
        <v>031__Documentos de lineamientos técnicos</v>
      </c>
      <c r="Y476" s="249" t="str">
        <f>CONCATENATE(U476," ",X476)</f>
        <v>08-Infraestructura física, mantenimiento y dotación (Sedes construidas, mantenidas reforzadas) 031__Documentos de lineamientos técnicos</v>
      </c>
      <c r="Z476" s="248" t="str">
        <f>CONCATENATE(P476,Q476,R476,S476,V476)</f>
        <v>O23011745032024025508031_</v>
      </c>
      <c r="AA476" s="248" t="str">
        <f>IFERROR(VLOOKUP(Y476,TD!$K$47:$L$65,2,0)," ")</f>
        <v>PM/0131/0108/45030310255</v>
      </c>
      <c r="AB476" s="53" t="s">
        <v>102</v>
      </c>
      <c r="AC476" s="250" t="s">
        <v>204</v>
      </c>
    </row>
    <row r="477" spans="2:29" s="28" customFormat="1" ht="42" x14ac:dyDescent="0.35">
      <c r="B477" s="127">
        <v>20250523</v>
      </c>
      <c r="C477" s="129" t="s">
        <v>209</v>
      </c>
      <c r="D477" s="251" t="s">
        <v>166</v>
      </c>
      <c r="E477" s="252" t="s">
        <v>558</v>
      </c>
      <c r="F477" s="251" t="s">
        <v>865</v>
      </c>
      <c r="G477" s="251" t="s">
        <v>105</v>
      </c>
      <c r="H477" s="130" t="s">
        <v>598</v>
      </c>
      <c r="I477" s="253">
        <v>8</v>
      </c>
      <c r="J477" s="253">
        <v>20</v>
      </c>
      <c r="K477" s="126">
        <v>0</v>
      </c>
      <c r="L477" s="125">
        <v>6728595684</v>
      </c>
      <c r="M477" s="251" t="s">
        <v>464</v>
      </c>
      <c r="N477" s="125" t="s">
        <v>85</v>
      </c>
      <c r="O477" s="252" t="s">
        <v>227</v>
      </c>
      <c r="P477" s="254" t="str">
        <f>IFERROR(VLOOKUP(C477,TD!$B$33:$F$37,2,0)," ")</f>
        <v>O230117</v>
      </c>
      <c r="Q477" s="254" t="str">
        <f>IFERROR(VLOOKUP(C477,TD!$B$33:$F$37,3,0)," ")</f>
        <v>4503</v>
      </c>
      <c r="R477" s="254">
        <f>IFERROR(VLOOKUP(C477,TD!$B$33:$F$37,4,0)," ")</f>
        <v>20240255</v>
      </c>
      <c r="S477" s="252" t="s">
        <v>185</v>
      </c>
      <c r="T477" s="254" t="str">
        <f>IFERROR(VLOOKUP(S477,TD!$J$34:$K$44,2,0)," ")</f>
        <v>Infraestructura física, mantenimiento y dotación (Sedes construidas, mantenidas reforzadas)</v>
      </c>
      <c r="U477" s="249" t="str">
        <f>CONCATENATE(S477,"-",T477)</f>
        <v>08-Infraestructura física, mantenimiento y dotación (Sedes construidas, mantenidas reforzadas)</v>
      </c>
      <c r="V477" s="252" t="s">
        <v>236</v>
      </c>
      <c r="W477" s="254" t="str">
        <f>IFERROR(VLOOKUP(V477,TD!$N$34:$O$46,2,0)," ")</f>
        <v>Estaciones de bomberos adecuadas</v>
      </c>
      <c r="X477" s="249" t="str">
        <f>CONCATENATE(V477,"_",W477)</f>
        <v>014_Estaciones de bomberos adecuadas</v>
      </c>
      <c r="Y477" s="249" t="str">
        <f>CONCATENATE(U477," ",X477)</f>
        <v>08-Infraestructura física, mantenimiento y dotación (Sedes construidas, mantenidas reforzadas) 014_Estaciones de bomberos adecuadas</v>
      </c>
      <c r="Z477" s="254" t="str">
        <f>CONCATENATE(P477,Q477,R477,S477,V477)</f>
        <v>O23011745032024025508014</v>
      </c>
      <c r="AA477" s="254" t="str">
        <f>IFERROR(VLOOKUP(Y477,TD!$K$47:$L$65,2,0)," ")</f>
        <v>PM/0131/0108/45030140255</v>
      </c>
      <c r="AB477" s="125" t="s">
        <v>102</v>
      </c>
      <c r="AC477" s="255" t="s">
        <v>204</v>
      </c>
    </row>
    <row r="478" spans="2:29" s="28" customFormat="1" ht="42" x14ac:dyDescent="0.35">
      <c r="B478" s="77">
        <v>20250524</v>
      </c>
      <c r="C478" s="50" t="s">
        <v>209</v>
      </c>
      <c r="D478" s="246" t="s">
        <v>166</v>
      </c>
      <c r="E478" s="51" t="s">
        <v>558</v>
      </c>
      <c r="F478" s="246" t="s">
        <v>866</v>
      </c>
      <c r="G478" s="246" t="s">
        <v>140</v>
      </c>
      <c r="H478" s="93" t="s">
        <v>599</v>
      </c>
      <c r="I478" s="247">
        <v>8</v>
      </c>
      <c r="J478" s="247">
        <v>20</v>
      </c>
      <c r="K478" s="52">
        <v>0</v>
      </c>
      <c r="L478" s="53">
        <v>392000000</v>
      </c>
      <c r="M478" s="246" t="s">
        <v>464</v>
      </c>
      <c r="N478" s="53" t="s">
        <v>108</v>
      </c>
      <c r="O478" s="51" t="s">
        <v>227</v>
      </c>
      <c r="P478" s="248" t="str">
        <f>IFERROR(VLOOKUP(C478,TD!$B$33:$F$37,2,0)," ")</f>
        <v>O230117</v>
      </c>
      <c r="Q478" s="248" t="str">
        <f>IFERROR(VLOOKUP(C478,TD!$B$33:$F$37,3,0)," ")</f>
        <v>4503</v>
      </c>
      <c r="R478" s="248">
        <f>IFERROR(VLOOKUP(C478,TD!$B$33:$F$37,4,0)," ")</f>
        <v>20240255</v>
      </c>
      <c r="S478" s="51" t="s">
        <v>185</v>
      </c>
      <c r="T478" s="248" t="str">
        <f>IFERROR(VLOOKUP(S478,TD!$J$34:$K$44,2,0)," ")</f>
        <v>Infraestructura física, mantenimiento y dotación (Sedes construidas, mantenidas reforzadas)</v>
      </c>
      <c r="U478" s="249" t="str">
        <f>CONCATENATE(S478,"-",T478)</f>
        <v>08-Infraestructura física, mantenimiento y dotación (Sedes construidas, mantenidas reforzadas)</v>
      </c>
      <c r="V478" s="51" t="s">
        <v>236</v>
      </c>
      <c r="W478" s="248" t="str">
        <f>IFERROR(VLOOKUP(V478,TD!$N$34:$O$46,2,0)," ")</f>
        <v>Estaciones de bomberos adecuadas</v>
      </c>
      <c r="X478" s="249" t="str">
        <f>CONCATENATE(V478,"_",W478)</f>
        <v>014_Estaciones de bomberos adecuadas</v>
      </c>
      <c r="Y478" s="249" t="str">
        <f>CONCATENATE(U478," ",X478)</f>
        <v>08-Infraestructura física, mantenimiento y dotación (Sedes construidas, mantenidas reforzadas) 014_Estaciones de bomberos adecuadas</v>
      </c>
      <c r="Z478" s="248" t="str">
        <f>CONCATENATE(P478,Q478,R478,S478,V478)</f>
        <v>O23011745032024025508014</v>
      </c>
      <c r="AA478" s="248" t="str">
        <f>IFERROR(VLOOKUP(Y478,TD!$K$47:$L$65,2,0)," ")</f>
        <v>PM/0131/0108/45030140255</v>
      </c>
      <c r="AB478" s="53" t="s">
        <v>102</v>
      </c>
      <c r="AC478" s="250" t="s">
        <v>204</v>
      </c>
    </row>
    <row r="479" spans="2:29" s="28" customFormat="1" ht="42" x14ac:dyDescent="0.35">
      <c r="B479" s="77">
        <v>20250525</v>
      </c>
      <c r="C479" s="50" t="s">
        <v>208</v>
      </c>
      <c r="D479" s="246" t="s">
        <v>166</v>
      </c>
      <c r="E479" s="51" t="s">
        <v>558</v>
      </c>
      <c r="F479" s="246" t="s">
        <v>727</v>
      </c>
      <c r="G479" s="246" t="s">
        <v>155</v>
      </c>
      <c r="H479" s="93" t="s">
        <v>606</v>
      </c>
      <c r="I479" s="247">
        <v>2</v>
      </c>
      <c r="J479" s="247">
        <v>11</v>
      </c>
      <c r="K479" s="52">
        <v>0</v>
      </c>
      <c r="L479" s="53">
        <v>83482587</v>
      </c>
      <c r="M479" s="246" t="s">
        <v>464</v>
      </c>
      <c r="N479" s="53" t="s">
        <v>607</v>
      </c>
      <c r="O479" s="51" t="s">
        <v>218</v>
      </c>
      <c r="P479" s="248" t="str">
        <f>IFERROR(VLOOKUP(C479,TD!$B$33:$F$37,2,0)," ")</f>
        <v>O230117</v>
      </c>
      <c r="Q479" s="248" t="str">
        <f>IFERROR(VLOOKUP(C479,TD!$B$33:$F$37,3,0)," ")</f>
        <v>4599</v>
      </c>
      <c r="R479" s="248">
        <f>IFERROR(VLOOKUP(C479,TD!$B$33:$F$37,4,0)," ")</f>
        <v>20240207</v>
      </c>
      <c r="S479" s="51" t="s">
        <v>185</v>
      </c>
      <c r="T479" s="248" t="str">
        <f>IFERROR(VLOOKUP(S479,TD!$J$34:$K$44,2,0)," ")</f>
        <v>Infraestructura física, mantenimiento y dotación (Sedes construidas, mantenidas reforzadas)</v>
      </c>
      <c r="U479" s="249" t="str">
        <f>CONCATENATE(S479,"-",T479)</f>
        <v>08-Infraestructura física, mantenimiento y dotación (Sedes construidas, mantenidas reforzadas)</v>
      </c>
      <c r="V479" s="51" t="s">
        <v>238</v>
      </c>
      <c r="W479" s="248" t="str">
        <f>IFERROR(VLOOKUP(V479,TD!$N$34:$O$46,2,0)," ")</f>
        <v>Sedes mantenidas</v>
      </c>
      <c r="X479" s="249" t="str">
        <f>CONCATENATE(V479,"_",W479)</f>
        <v>016_Sedes mantenidas</v>
      </c>
      <c r="Y479" s="249" t="str">
        <f>CONCATENATE(U479," ",X479)</f>
        <v>08-Infraestructura física, mantenimiento y dotación (Sedes construidas, mantenidas reforzadas) 016_Sedes mantenidas</v>
      </c>
      <c r="Z479" s="248" t="str">
        <f>CONCATENATE(P479,Q479,R479,S479,V479)</f>
        <v>O23011745992024020708016</v>
      </c>
      <c r="AA479" s="248" t="str">
        <f>IFERROR(VLOOKUP(Y479,TD!$K$47:$L$65,2,0)," ")</f>
        <v>PM/0131/0108/45990160207</v>
      </c>
      <c r="AB479" s="53" t="s">
        <v>138</v>
      </c>
      <c r="AC479" s="250" t="s">
        <v>204</v>
      </c>
    </row>
    <row r="480" spans="2:29" s="28" customFormat="1" ht="56" x14ac:dyDescent="0.35">
      <c r="B480" s="77">
        <v>20250526</v>
      </c>
      <c r="C480" s="50" t="s">
        <v>208</v>
      </c>
      <c r="D480" s="246" t="s">
        <v>166</v>
      </c>
      <c r="E480" s="51" t="s">
        <v>558</v>
      </c>
      <c r="F480" s="246" t="s">
        <v>578</v>
      </c>
      <c r="G480" s="246" t="s">
        <v>156</v>
      </c>
      <c r="H480" s="93" t="s">
        <v>606</v>
      </c>
      <c r="I480" s="247">
        <v>2</v>
      </c>
      <c r="J480" s="247">
        <v>11</v>
      </c>
      <c r="K480" s="52">
        <v>0</v>
      </c>
      <c r="L480" s="53">
        <v>29558952</v>
      </c>
      <c r="M480" s="246" t="s">
        <v>464</v>
      </c>
      <c r="N480" s="53" t="s">
        <v>607</v>
      </c>
      <c r="O480" s="51" t="s">
        <v>218</v>
      </c>
      <c r="P480" s="248" t="str">
        <f>IFERROR(VLOOKUP(C480,TD!$B$33:$F$37,2,0)," ")</f>
        <v>O230117</v>
      </c>
      <c r="Q480" s="248" t="str">
        <f>IFERROR(VLOOKUP(C480,TD!$B$33:$F$37,3,0)," ")</f>
        <v>4599</v>
      </c>
      <c r="R480" s="248">
        <f>IFERROR(VLOOKUP(C480,TD!$B$33:$F$37,4,0)," ")</f>
        <v>20240207</v>
      </c>
      <c r="S480" s="51" t="s">
        <v>185</v>
      </c>
      <c r="T480" s="248" t="str">
        <f>IFERROR(VLOOKUP(S480,TD!$J$34:$K$44,2,0)," ")</f>
        <v>Infraestructura física, mantenimiento y dotación (Sedes construidas, mantenidas reforzadas)</v>
      </c>
      <c r="U480" s="249" t="str">
        <f>CONCATENATE(S480,"-",T480)</f>
        <v>08-Infraestructura física, mantenimiento y dotación (Sedes construidas, mantenidas reforzadas)</v>
      </c>
      <c r="V480" s="51" t="s">
        <v>238</v>
      </c>
      <c r="W480" s="248" t="str">
        <f>IFERROR(VLOOKUP(V480,TD!$N$34:$O$46,2,0)," ")</f>
        <v>Sedes mantenidas</v>
      </c>
      <c r="X480" s="249" t="str">
        <f>CONCATENATE(V480,"_",W480)</f>
        <v>016_Sedes mantenidas</v>
      </c>
      <c r="Y480" s="249" t="str">
        <f>CONCATENATE(U480," ",X480)</f>
        <v>08-Infraestructura física, mantenimiento y dotación (Sedes construidas, mantenidas reforzadas) 016_Sedes mantenidas</v>
      </c>
      <c r="Z480" s="248" t="str">
        <f>CONCATENATE(P480,Q480,R480,S480,V480)</f>
        <v>O23011745992024020708016</v>
      </c>
      <c r="AA480" s="248" t="str">
        <f>IFERROR(VLOOKUP(Y480,TD!$K$47:$L$65,2,0)," ")</f>
        <v>PM/0131/0108/45990160207</v>
      </c>
      <c r="AB480" s="53" t="s">
        <v>138</v>
      </c>
      <c r="AC480" s="250" t="s">
        <v>204</v>
      </c>
    </row>
    <row r="481" spans="2:29" s="28" customFormat="1" ht="56" x14ac:dyDescent="0.35">
      <c r="B481" s="77">
        <v>20250527</v>
      </c>
      <c r="C481" s="50" t="s">
        <v>208</v>
      </c>
      <c r="D481" s="246" t="s">
        <v>166</v>
      </c>
      <c r="E481" s="51" t="s">
        <v>558</v>
      </c>
      <c r="F481" s="246" t="s">
        <v>578</v>
      </c>
      <c r="G481" s="246" t="s">
        <v>156</v>
      </c>
      <c r="H481" s="93" t="s">
        <v>606</v>
      </c>
      <c r="I481" s="247">
        <v>2</v>
      </c>
      <c r="J481" s="247">
        <v>11</v>
      </c>
      <c r="K481" s="52">
        <v>0</v>
      </c>
      <c r="L481" s="53">
        <v>29558952</v>
      </c>
      <c r="M481" s="246" t="s">
        <v>464</v>
      </c>
      <c r="N481" s="53" t="s">
        <v>607</v>
      </c>
      <c r="O481" s="51" t="s">
        <v>218</v>
      </c>
      <c r="P481" s="248" t="str">
        <f>IFERROR(VLOOKUP(C481,TD!$B$33:$F$37,2,0)," ")</f>
        <v>O230117</v>
      </c>
      <c r="Q481" s="248" t="str">
        <f>IFERROR(VLOOKUP(C481,TD!$B$33:$F$37,3,0)," ")</f>
        <v>4599</v>
      </c>
      <c r="R481" s="248">
        <f>IFERROR(VLOOKUP(C481,TD!$B$33:$F$37,4,0)," ")</f>
        <v>20240207</v>
      </c>
      <c r="S481" s="51" t="s">
        <v>185</v>
      </c>
      <c r="T481" s="248" t="str">
        <f>IFERROR(VLOOKUP(S481,TD!$J$34:$K$44,2,0)," ")</f>
        <v>Infraestructura física, mantenimiento y dotación (Sedes construidas, mantenidas reforzadas)</v>
      </c>
      <c r="U481" s="249" t="str">
        <f>CONCATENATE(S481,"-",T481)</f>
        <v>08-Infraestructura física, mantenimiento y dotación (Sedes construidas, mantenidas reforzadas)</v>
      </c>
      <c r="V481" s="51" t="s">
        <v>238</v>
      </c>
      <c r="W481" s="248" t="str">
        <f>IFERROR(VLOOKUP(V481,TD!$N$34:$O$46,2,0)," ")</f>
        <v>Sedes mantenidas</v>
      </c>
      <c r="X481" s="249" t="str">
        <f>CONCATENATE(V481,"_",W481)</f>
        <v>016_Sedes mantenidas</v>
      </c>
      <c r="Y481" s="249" t="str">
        <f>CONCATENATE(U481," ",X481)</f>
        <v>08-Infraestructura física, mantenimiento y dotación (Sedes construidas, mantenidas reforzadas) 016_Sedes mantenidas</v>
      </c>
      <c r="Z481" s="248" t="str">
        <f>CONCATENATE(P481,Q481,R481,S481,V481)</f>
        <v>O23011745992024020708016</v>
      </c>
      <c r="AA481" s="248" t="str">
        <f>IFERROR(VLOOKUP(Y481,TD!$K$47:$L$65,2,0)," ")</f>
        <v>PM/0131/0108/45990160207</v>
      </c>
      <c r="AB481" s="53" t="s">
        <v>138</v>
      </c>
      <c r="AC481" s="250" t="s">
        <v>204</v>
      </c>
    </row>
    <row r="482" spans="2:29" s="28" customFormat="1" ht="70" x14ac:dyDescent="0.35">
      <c r="B482" s="77">
        <v>20250528</v>
      </c>
      <c r="C482" s="50" t="s">
        <v>208</v>
      </c>
      <c r="D482" s="246" t="s">
        <v>166</v>
      </c>
      <c r="E482" s="51" t="s">
        <v>558</v>
      </c>
      <c r="F482" s="246" t="s">
        <v>578</v>
      </c>
      <c r="G482" s="246" t="s">
        <v>156</v>
      </c>
      <c r="H482" s="93" t="s">
        <v>606</v>
      </c>
      <c r="I482" s="247">
        <v>2</v>
      </c>
      <c r="J482" s="247">
        <v>11</v>
      </c>
      <c r="K482" s="52">
        <v>0</v>
      </c>
      <c r="L482" s="53">
        <v>29558952</v>
      </c>
      <c r="M482" s="246" t="s">
        <v>464</v>
      </c>
      <c r="N482" s="53" t="s">
        <v>607</v>
      </c>
      <c r="O482" s="51" t="s">
        <v>218</v>
      </c>
      <c r="P482" s="248" t="str">
        <f>IFERROR(VLOOKUP(C482,TD!$B$33:$F$37,2,0)," ")</f>
        <v>O230117</v>
      </c>
      <c r="Q482" s="248" t="str">
        <f>IFERROR(VLOOKUP(C482,TD!$B$33:$F$37,3,0)," ")</f>
        <v>4599</v>
      </c>
      <c r="R482" s="248">
        <f>IFERROR(VLOOKUP(C482,TD!$B$33:$F$37,4,0)," ")</f>
        <v>20240207</v>
      </c>
      <c r="S482" s="51" t="s">
        <v>185</v>
      </c>
      <c r="T482" s="248" t="str">
        <f>IFERROR(VLOOKUP(S482,TD!$J$34:$K$44,2,0)," ")</f>
        <v>Infraestructura física, mantenimiento y dotación (Sedes construidas, mantenidas reforzadas)</v>
      </c>
      <c r="U482" s="249" t="str">
        <f>CONCATENATE(S482,"-",T482)</f>
        <v>08-Infraestructura física, mantenimiento y dotación (Sedes construidas, mantenidas reforzadas)</v>
      </c>
      <c r="V482" s="51" t="s">
        <v>238</v>
      </c>
      <c r="W482" s="248" t="str">
        <f>IFERROR(VLOOKUP(V482,TD!$N$34:$O$46,2,0)," ")</f>
        <v>Sedes mantenidas</v>
      </c>
      <c r="X482" s="249" t="str">
        <f>CONCATENATE(V482,"_",W482)</f>
        <v>016_Sedes mantenidas</v>
      </c>
      <c r="Y482" s="249" t="str">
        <f>CONCATENATE(U482," ",X482)</f>
        <v>08-Infraestructura física, mantenimiento y dotación (Sedes construidas, mantenidas reforzadas) 016_Sedes mantenidas</v>
      </c>
      <c r="Z482" s="248" t="str">
        <f>CONCATENATE(P482,Q482,R482,S482,V482)</f>
        <v>O23011745992024020708016</v>
      </c>
      <c r="AA482" s="248" t="str">
        <f>IFERROR(VLOOKUP(Y482,TD!$K$47:$L$65,2,0)," ")</f>
        <v>PM/0131/0108/45990160207</v>
      </c>
      <c r="AB482" s="53" t="s">
        <v>138</v>
      </c>
      <c r="AC482" s="250" t="s">
        <v>204</v>
      </c>
    </row>
    <row r="483" spans="2:29" s="28" customFormat="1" ht="70" x14ac:dyDescent="0.35">
      <c r="B483" s="77">
        <v>20250529</v>
      </c>
      <c r="C483" s="50" t="s">
        <v>209</v>
      </c>
      <c r="D483" s="246" t="s">
        <v>166</v>
      </c>
      <c r="E483" s="51" t="s">
        <v>558</v>
      </c>
      <c r="F483" s="246" t="s">
        <v>728</v>
      </c>
      <c r="G483" s="246" t="s">
        <v>155</v>
      </c>
      <c r="H483" s="93" t="s">
        <v>606</v>
      </c>
      <c r="I483" s="247">
        <v>2</v>
      </c>
      <c r="J483" s="247">
        <v>11</v>
      </c>
      <c r="K483" s="52">
        <v>0</v>
      </c>
      <c r="L483" s="53">
        <v>46449783</v>
      </c>
      <c r="M483" s="246" t="s">
        <v>464</v>
      </c>
      <c r="N483" s="53" t="s">
        <v>607</v>
      </c>
      <c r="O483" s="51" t="s">
        <v>230</v>
      </c>
      <c r="P483" s="248" t="str">
        <f>IFERROR(VLOOKUP(C483,TD!$B$33:$F$37,2,0)," ")</f>
        <v>O230117</v>
      </c>
      <c r="Q483" s="248" t="str">
        <f>IFERROR(VLOOKUP(C483,TD!$B$33:$F$37,3,0)," ")</f>
        <v>4503</v>
      </c>
      <c r="R483" s="248">
        <f>IFERROR(VLOOKUP(C483,TD!$B$33:$F$37,4,0)," ")</f>
        <v>20240255</v>
      </c>
      <c r="S483" s="51" t="s">
        <v>185</v>
      </c>
      <c r="T483" s="248" t="str">
        <f>IFERROR(VLOOKUP(S483,TD!$J$34:$K$44,2,0)," ")</f>
        <v>Infraestructura física, mantenimiento y dotación (Sedes construidas, mantenidas reforzadas)</v>
      </c>
      <c r="U483" s="249" t="str">
        <f>CONCATENATE(S483,"-",T483)</f>
        <v>08-Infraestructura física, mantenimiento y dotación (Sedes construidas, mantenidas reforzadas)</v>
      </c>
      <c r="V483" s="51" t="s">
        <v>294</v>
      </c>
      <c r="W483" s="248" t="str">
        <f>IFERROR(VLOOKUP(V483,TD!$N$34:$O$46,2,0)," ")</f>
        <v>Documentos de lineamientos técnicos</v>
      </c>
      <c r="X483" s="249" t="str">
        <f>CONCATENATE(V483,"_",W483)</f>
        <v>031__Documentos de lineamientos técnicos</v>
      </c>
      <c r="Y483" s="249" t="str">
        <f>CONCATENATE(U483," ",X483)</f>
        <v>08-Infraestructura física, mantenimiento y dotación (Sedes construidas, mantenidas reforzadas) 031__Documentos de lineamientos técnicos</v>
      </c>
      <c r="Z483" s="248" t="str">
        <f>CONCATENATE(P483,Q483,R483,S483,V483)</f>
        <v>O23011745032024025508031_</v>
      </c>
      <c r="AA483" s="248" t="str">
        <f>IFERROR(VLOOKUP(Y483,TD!$K$47:$L$65,2,0)," ")</f>
        <v>PM/0131/0108/45030310255</v>
      </c>
      <c r="AB483" s="53" t="s">
        <v>120</v>
      </c>
      <c r="AC483" s="250" t="s">
        <v>204</v>
      </c>
    </row>
    <row r="484" spans="2:29" s="28" customFormat="1" ht="56" x14ac:dyDescent="0.35">
      <c r="B484" s="77">
        <v>20250530</v>
      </c>
      <c r="C484" s="50" t="s">
        <v>209</v>
      </c>
      <c r="D484" s="246" t="s">
        <v>166</v>
      </c>
      <c r="E484" s="51" t="s">
        <v>558</v>
      </c>
      <c r="F484" s="246" t="s">
        <v>575</v>
      </c>
      <c r="G484" s="246" t="s">
        <v>155</v>
      </c>
      <c r="H484" s="93" t="s">
        <v>606</v>
      </c>
      <c r="I484" s="247">
        <v>2</v>
      </c>
      <c r="J484" s="247">
        <v>11</v>
      </c>
      <c r="K484" s="52">
        <v>0</v>
      </c>
      <c r="L484" s="53">
        <v>46800000</v>
      </c>
      <c r="M484" s="246" t="s">
        <v>464</v>
      </c>
      <c r="N484" s="53" t="s">
        <v>607</v>
      </c>
      <c r="O484" s="51" t="s">
        <v>227</v>
      </c>
      <c r="P484" s="248" t="str">
        <f>IFERROR(VLOOKUP(C484,TD!$B$33:$F$37,2,0)," ")</f>
        <v>O230117</v>
      </c>
      <c r="Q484" s="248" t="str">
        <f>IFERROR(VLOOKUP(C484,TD!$B$33:$F$37,3,0)," ")</f>
        <v>4503</v>
      </c>
      <c r="R484" s="248">
        <f>IFERROR(VLOOKUP(C484,TD!$B$33:$F$37,4,0)," ")</f>
        <v>20240255</v>
      </c>
      <c r="S484" s="51" t="s">
        <v>185</v>
      </c>
      <c r="T484" s="248" t="str">
        <f>IFERROR(VLOOKUP(S484,TD!$J$34:$K$44,2,0)," ")</f>
        <v>Infraestructura física, mantenimiento y dotación (Sedes construidas, mantenidas reforzadas)</v>
      </c>
      <c r="U484" s="249" t="str">
        <f>CONCATENATE(S484,"-",T484)</f>
        <v>08-Infraestructura física, mantenimiento y dotación (Sedes construidas, mantenidas reforzadas)</v>
      </c>
      <c r="V484" s="51" t="s">
        <v>236</v>
      </c>
      <c r="W484" s="248" t="str">
        <f>IFERROR(VLOOKUP(V484,TD!$N$34:$O$46,2,0)," ")</f>
        <v>Estaciones de bomberos adecuadas</v>
      </c>
      <c r="X484" s="249" t="str">
        <f>CONCATENATE(V484,"_",W484)</f>
        <v>014_Estaciones de bomberos adecuadas</v>
      </c>
      <c r="Y484" s="249" t="str">
        <f>CONCATENATE(U484," ",X484)</f>
        <v>08-Infraestructura física, mantenimiento y dotación (Sedes construidas, mantenidas reforzadas) 014_Estaciones de bomberos adecuadas</v>
      </c>
      <c r="Z484" s="248" t="str">
        <f>CONCATENATE(P484,Q484,R484,S484,V484)</f>
        <v>O23011745032024025508014</v>
      </c>
      <c r="AA484" s="248" t="str">
        <f>IFERROR(VLOOKUP(Y484,TD!$K$47:$L$65,2,0)," ")</f>
        <v>PM/0131/0108/45030140255</v>
      </c>
      <c r="AB484" s="53" t="s">
        <v>138</v>
      </c>
      <c r="AC484" s="250" t="s">
        <v>204</v>
      </c>
    </row>
    <row r="485" spans="2:29" s="28" customFormat="1" ht="70" x14ac:dyDescent="0.35">
      <c r="B485" s="77">
        <v>20250531</v>
      </c>
      <c r="C485" s="50" t="s">
        <v>209</v>
      </c>
      <c r="D485" s="246" t="s">
        <v>166</v>
      </c>
      <c r="E485" s="51" t="s">
        <v>558</v>
      </c>
      <c r="F485" s="246" t="s">
        <v>590</v>
      </c>
      <c r="G485" s="246" t="s">
        <v>155</v>
      </c>
      <c r="H485" s="93" t="s">
        <v>606</v>
      </c>
      <c r="I485" s="247">
        <v>2</v>
      </c>
      <c r="J485" s="247">
        <v>11</v>
      </c>
      <c r="K485" s="52">
        <v>0</v>
      </c>
      <c r="L485" s="53">
        <v>54291951</v>
      </c>
      <c r="M485" s="246" t="s">
        <v>464</v>
      </c>
      <c r="N485" s="53" t="s">
        <v>607</v>
      </c>
      <c r="O485" s="51" t="s">
        <v>227</v>
      </c>
      <c r="P485" s="248" t="str">
        <f>IFERROR(VLOOKUP(C485,TD!$B$33:$F$37,2,0)," ")</f>
        <v>O230117</v>
      </c>
      <c r="Q485" s="248" t="str">
        <f>IFERROR(VLOOKUP(C485,TD!$B$33:$F$37,3,0)," ")</f>
        <v>4503</v>
      </c>
      <c r="R485" s="248">
        <f>IFERROR(VLOOKUP(C485,TD!$B$33:$F$37,4,0)," ")</f>
        <v>20240255</v>
      </c>
      <c r="S485" s="51" t="s">
        <v>185</v>
      </c>
      <c r="T485" s="248" t="str">
        <f>IFERROR(VLOOKUP(S485,TD!$J$34:$K$44,2,0)," ")</f>
        <v>Infraestructura física, mantenimiento y dotación (Sedes construidas, mantenidas reforzadas)</v>
      </c>
      <c r="U485" s="249" t="str">
        <f>CONCATENATE(S485,"-",T485)</f>
        <v>08-Infraestructura física, mantenimiento y dotación (Sedes construidas, mantenidas reforzadas)</v>
      </c>
      <c r="V485" s="51" t="s">
        <v>236</v>
      </c>
      <c r="W485" s="248" t="str">
        <f>IFERROR(VLOOKUP(V485,TD!$N$34:$O$46,2,0)," ")</f>
        <v>Estaciones de bomberos adecuadas</v>
      </c>
      <c r="X485" s="249" t="str">
        <f>CONCATENATE(V485,"_",W485)</f>
        <v>014_Estaciones de bomberos adecuadas</v>
      </c>
      <c r="Y485" s="249" t="str">
        <f>CONCATENATE(U485," ",X485)</f>
        <v>08-Infraestructura física, mantenimiento y dotación (Sedes construidas, mantenidas reforzadas) 014_Estaciones de bomberos adecuadas</v>
      </c>
      <c r="Z485" s="248" t="str">
        <f>CONCATENATE(P485,Q485,R485,S485,V485)</f>
        <v>O23011745032024025508014</v>
      </c>
      <c r="AA485" s="248" t="str">
        <f>IFERROR(VLOOKUP(Y485,TD!$K$47:$L$65,2,0)," ")</f>
        <v>PM/0131/0108/45030140255</v>
      </c>
      <c r="AB485" s="53" t="s">
        <v>138</v>
      </c>
      <c r="AC485" s="250" t="s">
        <v>204</v>
      </c>
    </row>
    <row r="486" spans="2:29" s="28" customFormat="1" ht="56" x14ac:dyDescent="0.35">
      <c r="B486" s="127">
        <v>20250532</v>
      </c>
      <c r="C486" s="129" t="s">
        <v>208</v>
      </c>
      <c r="D486" s="251" t="s">
        <v>166</v>
      </c>
      <c r="E486" s="252" t="s">
        <v>558</v>
      </c>
      <c r="F486" s="251" t="s">
        <v>716</v>
      </c>
      <c r="G486" s="251" t="s">
        <v>155</v>
      </c>
      <c r="H486" s="130" t="s">
        <v>606</v>
      </c>
      <c r="I486" s="253">
        <v>2</v>
      </c>
      <c r="J486" s="253">
        <v>11</v>
      </c>
      <c r="K486" s="126">
        <v>0</v>
      </c>
      <c r="L486" s="125">
        <v>44237886</v>
      </c>
      <c r="M486" s="251" t="s">
        <v>464</v>
      </c>
      <c r="N486" s="125" t="s">
        <v>607</v>
      </c>
      <c r="O486" s="252" t="s">
        <v>219</v>
      </c>
      <c r="P486" s="254" t="str">
        <f>IFERROR(VLOOKUP(C486,TD!$B$33:$F$37,2,0)," ")</f>
        <v>O230117</v>
      </c>
      <c r="Q486" s="254" t="str">
        <f>IFERROR(VLOOKUP(C486,TD!$B$33:$F$37,3,0)," ")</f>
        <v>4599</v>
      </c>
      <c r="R486" s="254">
        <f>IFERROR(VLOOKUP(C486,TD!$B$33:$F$37,4,0)," ")</f>
        <v>20240207</v>
      </c>
      <c r="S486" s="252" t="s">
        <v>185</v>
      </c>
      <c r="T486" s="254" t="str">
        <f>IFERROR(VLOOKUP(S486,TD!$J$34:$K$44,2,0)," ")</f>
        <v>Infraestructura física, mantenimiento y dotación (Sedes construidas, mantenidas reforzadas)</v>
      </c>
      <c r="U486" s="249" t="str">
        <f>CONCATENATE(S486,"-",T486)</f>
        <v>08-Infraestructura física, mantenimiento y dotación (Sedes construidas, mantenidas reforzadas)</v>
      </c>
      <c r="V486" s="252" t="s">
        <v>238</v>
      </c>
      <c r="W486" s="254" t="str">
        <f>IFERROR(VLOOKUP(V486,TD!$N$34:$O$46,2,0)," ")</f>
        <v>Sedes mantenidas</v>
      </c>
      <c r="X486" s="249" t="str">
        <f>CONCATENATE(V486,"_",W486)</f>
        <v>016_Sedes mantenidas</v>
      </c>
      <c r="Y486" s="249" t="str">
        <f>CONCATENATE(U486," ",X486)</f>
        <v>08-Infraestructura física, mantenimiento y dotación (Sedes construidas, mantenidas reforzadas) 016_Sedes mantenidas</v>
      </c>
      <c r="Z486" s="254" t="str">
        <f>CONCATENATE(P486,Q486,R486,S486,V486)</f>
        <v>O23011745992024020708016</v>
      </c>
      <c r="AA486" s="254" t="str">
        <f>IFERROR(VLOOKUP(Y486,TD!$K$47:$L$65,2,0)," ")</f>
        <v>PM/0131/0108/45990160207</v>
      </c>
      <c r="AB486" s="125" t="s">
        <v>120</v>
      </c>
      <c r="AC486" s="255" t="s">
        <v>204</v>
      </c>
    </row>
    <row r="487" spans="2:29" s="28" customFormat="1" ht="70" x14ac:dyDescent="0.35">
      <c r="B487" s="127">
        <v>20250533</v>
      </c>
      <c r="C487" s="129" t="s">
        <v>209</v>
      </c>
      <c r="D487" s="251" t="s">
        <v>166</v>
      </c>
      <c r="E487" s="252" t="s">
        <v>558</v>
      </c>
      <c r="F487" s="251" t="s">
        <v>614</v>
      </c>
      <c r="G487" s="251" t="s">
        <v>155</v>
      </c>
      <c r="H487" s="130" t="s">
        <v>606</v>
      </c>
      <c r="I487" s="253">
        <v>2</v>
      </c>
      <c r="J487" s="253">
        <v>11</v>
      </c>
      <c r="K487" s="126">
        <v>0</v>
      </c>
      <c r="L487" s="125">
        <v>58500000</v>
      </c>
      <c r="M487" s="251" t="s">
        <v>464</v>
      </c>
      <c r="N487" s="125" t="s">
        <v>607</v>
      </c>
      <c r="O487" s="252" t="s">
        <v>227</v>
      </c>
      <c r="P487" s="254" t="str">
        <f>IFERROR(VLOOKUP(C487,TD!$B$33:$F$37,2,0)," ")</f>
        <v>O230117</v>
      </c>
      <c r="Q487" s="254" t="str">
        <f>IFERROR(VLOOKUP(C487,TD!$B$33:$F$37,3,0)," ")</f>
        <v>4503</v>
      </c>
      <c r="R487" s="254">
        <f>IFERROR(VLOOKUP(C487,TD!$B$33:$F$37,4,0)," ")</f>
        <v>20240255</v>
      </c>
      <c r="S487" s="252" t="s">
        <v>185</v>
      </c>
      <c r="T487" s="254" t="str">
        <f>IFERROR(VLOOKUP(S487,TD!$J$34:$K$44,2,0)," ")</f>
        <v>Infraestructura física, mantenimiento y dotación (Sedes construidas, mantenidas reforzadas)</v>
      </c>
      <c r="U487" s="249" t="str">
        <f>CONCATENATE(S487,"-",T487)</f>
        <v>08-Infraestructura física, mantenimiento y dotación (Sedes construidas, mantenidas reforzadas)</v>
      </c>
      <c r="V487" s="252" t="s">
        <v>236</v>
      </c>
      <c r="W487" s="254" t="str">
        <f>IFERROR(VLOOKUP(V487,TD!$N$34:$O$46,2,0)," ")</f>
        <v>Estaciones de bomberos adecuadas</v>
      </c>
      <c r="X487" s="249" t="str">
        <f>CONCATENATE(V487,"_",W487)</f>
        <v>014_Estaciones de bomberos adecuadas</v>
      </c>
      <c r="Y487" s="249" t="str">
        <f>CONCATENATE(U487," ",X487)</f>
        <v>08-Infraestructura física, mantenimiento y dotación (Sedes construidas, mantenidas reforzadas) 014_Estaciones de bomberos adecuadas</v>
      </c>
      <c r="Z487" s="254" t="str">
        <f>CONCATENATE(P487,Q487,R487,S487,V487)</f>
        <v>O23011745032024025508014</v>
      </c>
      <c r="AA487" s="254" t="str">
        <f>IFERROR(VLOOKUP(Y487,TD!$K$47:$L$65,2,0)," ")</f>
        <v>PM/0131/0108/45030140255</v>
      </c>
      <c r="AB487" s="53" t="s">
        <v>662</v>
      </c>
      <c r="AC487" s="255" t="s">
        <v>204</v>
      </c>
    </row>
    <row r="488" spans="2:29" s="28" customFormat="1" ht="42" x14ac:dyDescent="0.35">
      <c r="B488" s="77">
        <v>20250534</v>
      </c>
      <c r="C488" s="50" t="s">
        <v>208</v>
      </c>
      <c r="D488" s="246" t="s">
        <v>166</v>
      </c>
      <c r="E488" s="51" t="s">
        <v>558</v>
      </c>
      <c r="F488" s="246" t="s">
        <v>578</v>
      </c>
      <c r="G488" s="246" t="s">
        <v>156</v>
      </c>
      <c r="H488" s="93" t="s">
        <v>606</v>
      </c>
      <c r="I488" s="247">
        <v>2</v>
      </c>
      <c r="J488" s="247">
        <v>11</v>
      </c>
      <c r="K488" s="52">
        <v>0</v>
      </c>
      <c r="L488" s="53">
        <v>29558952</v>
      </c>
      <c r="M488" s="246" t="s">
        <v>464</v>
      </c>
      <c r="N488" s="53" t="s">
        <v>607</v>
      </c>
      <c r="O488" s="51" t="s">
        <v>218</v>
      </c>
      <c r="P488" s="248" t="str">
        <f>IFERROR(VLOOKUP(C488,TD!$B$33:$F$37,2,0)," ")</f>
        <v>O230117</v>
      </c>
      <c r="Q488" s="248" t="str">
        <f>IFERROR(VLOOKUP(C488,TD!$B$33:$F$37,3,0)," ")</f>
        <v>4599</v>
      </c>
      <c r="R488" s="248">
        <f>IFERROR(VLOOKUP(C488,TD!$B$33:$F$37,4,0)," ")</f>
        <v>20240207</v>
      </c>
      <c r="S488" s="51" t="s">
        <v>185</v>
      </c>
      <c r="T488" s="248" t="str">
        <f>IFERROR(VLOOKUP(S488,TD!$J$34:$K$44,2,0)," ")</f>
        <v>Infraestructura física, mantenimiento y dotación (Sedes construidas, mantenidas reforzadas)</v>
      </c>
      <c r="U488" s="249" t="str">
        <f>CONCATENATE(S488,"-",T488)</f>
        <v>08-Infraestructura física, mantenimiento y dotación (Sedes construidas, mantenidas reforzadas)</v>
      </c>
      <c r="V488" s="51" t="s">
        <v>238</v>
      </c>
      <c r="W488" s="248" t="str">
        <f>IFERROR(VLOOKUP(V488,TD!$N$34:$O$46,2,0)," ")</f>
        <v>Sedes mantenidas</v>
      </c>
      <c r="X488" s="249" t="str">
        <f>CONCATENATE(V488,"_",W488)</f>
        <v>016_Sedes mantenidas</v>
      </c>
      <c r="Y488" s="249" t="str">
        <f>CONCATENATE(U488," ",X488)</f>
        <v>08-Infraestructura física, mantenimiento y dotación (Sedes construidas, mantenidas reforzadas) 016_Sedes mantenidas</v>
      </c>
      <c r="Z488" s="248" t="str">
        <f>CONCATENATE(P488,Q488,R488,S488,V488)</f>
        <v>O23011745992024020708016</v>
      </c>
      <c r="AA488" s="248" t="str">
        <f>IFERROR(VLOOKUP(Y488,TD!$K$47:$L$65,2,0)," ")</f>
        <v>PM/0131/0108/45990160207</v>
      </c>
      <c r="AB488" s="53" t="s">
        <v>138</v>
      </c>
      <c r="AC488" s="250" t="s">
        <v>204</v>
      </c>
    </row>
    <row r="489" spans="2:29" s="28" customFormat="1" ht="56" x14ac:dyDescent="0.35">
      <c r="B489" s="77">
        <v>20250535</v>
      </c>
      <c r="C489" s="50" t="s">
        <v>208</v>
      </c>
      <c r="D489" s="246" t="s">
        <v>166</v>
      </c>
      <c r="E489" s="51" t="s">
        <v>558</v>
      </c>
      <c r="F489" s="246" t="s">
        <v>578</v>
      </c>
      <c r="G489" s="246" t="s">
        <v>156</v>
      </c>
      <c r="H489" s="93" t="s">
        <v>606</v>
      </c>
      <c r="I489" s="247">
        <v>2</v>
      </c>
      <c r="J489" s="247">
        <v>11</v>
      </c>
      <c r="K489" s="52">
        <v>0</v>
      </c>
      <c r="L489" s="53">
        <v>19705968</v>
      </c>
      <c r="M489" s="246" t="s">
        <v>464</v>
      </c>
      <c r="N489" s="53" t="s">
        <v>607</v>
      </c>
      <c r="O489" s="51" t="s">
        <v>218</v>
      </c>
      <c r="P489" s="248" t="str">
        <f>IFERROR(VLOOKUP(C489,TD!$B$33:$F$37,2,0)," ")</f>
        <v>O230117</v>
      </c>
      <c r="Q489" s="248" t="str">
        <f>IFERROR(VLOOKUP(C489,TD!$B$33:$F$37,3,0)," ")</f>
        <v>4599</v>
      </c>
      <c r="R489" s="248">
        <f>IFERROR(VLOOKUP(C489,TD!$B$33:$F$37,4,0)," ")</f>
        <v>20240207</v>
      </c>
      <c r="S489" s="51" t="s">
        <v>185</v>
      </c>
      <c r="T489" s="248" t="str">
        <f>IFERROR(VLOOKUP(S489,TD!$J$34:$K$44,2,0)," ")</f>
        <v>Infraestructura física, mantenimiento y dotación (Sedes construidas, mantenidas reforzadas)</v>
      </c>
      <c r="U489" s="249" t="str">
        <f>CONCATENATE(S489,"-",T489)</f>
        <v>08-Infraestructura física, mantenimiento y dotación (Sedes construidas, mantenidas reforzadas)</v>
      </c>
      <c r="V489" s="51" t="s">
        <v>238</v>
      </c>
      <c r="W489" s="248" t="str">
        <f>IFERROR(VLOOKUP(V489,TD!$N$34:$O$46,2,0)," ")</f>
        <v>Sedes mantenidas</v>
      </c>
      <c r="X489" s="249" t="str">
        <f>CONCATENATE(V489,"_",W489)</f>
        <v>016_Sedes mantenidas</v>
      </c>
      <c r="Y489" s="249" t="str">
        <f>CONCATENATE(U489," ",X489)</f>
        <v>08-Infraestructura física, mantenimiento y dotación (Sedes construidas, mantenidas reforzadas) 016_Sedes mantenidas</v>
      </c>
      <c r="Z489" s="248" t="str">
        <f>CONCATENATE(P489,Q489,R489,S489,V489)</f>
        <v>O23011745992024020708016</v>
      </c>
      <c r="AA489" s="248" t="str">
        <f>IFERROR(VLOOKUP(Y489,TD!$K$47:$L$65,2,0)," ")</f>
        <v>PM/0131/0108/45990160207</v>
      </c>
      <c r="AB489" s="53" t="s">
        <v>138</v>
      </c>
      <c r="AC489" s="250" t="s">
        <v>204</v>
      </c>
    </row>
    <row r="490" spans="2:29" s="28" customFormat="1" ht="56" x14ac:dyDescent="0.35">
      <c r="B490" s="127">
        <v>20250536</v>
      </c>
      <c r="C490" s="129" t="s">
        <v>208</v>
      </c>
      <c r="D490" s="251" t="s">
        <v>166</v>
      </c>
      <c r="E490" s="252" t="s">
        <v>558</v>
      </c>
      <c r="F490" s="251" t="s">
        <v>646</v>
      </c>
      <c r="G490" s="251" t="s">
        <v>155</v>
      </c>
      <c r="H490" s="130" t="s">
        <v>606</v>
      </c>
      <c r="I490" s="253">
        <v>2</v>
      </c>
      <c r="J490" s="253">
        <v>11</v>
      </c>
      <c r="K490" s="126">
        <v>0</v>
      </c>
      <c r="L490" s="125">
        <v>83482560</v>
      </c>
      <c r="M490" s="251" t="s">
        <v>464</v>
      </c>
      <c r="N490" s="125" t="s">
        <v>607</v>
      </c>
      <c r="O490" s="252" t="s">
        <v>219</v>
      </c>
      <c r="P490" s="254" t="str">
        <f>IFERROR(VLOOKUP(C490,TD!$B$33:$F$37,2,0)," ")</f>
        <v>O230117</v>
      </c>
      <c r="Q490" s="254" t="str">
        <f>IFERROR(VLOOKUP(C490,TD!$B$33:$F$37,3,0)," ")</f>
        <v>4599</v>
      </c>
      <c r="R490" s="254">
        <f>IFERROR(VLOOKUP(C490,TD!$B$33:$F$37,4,0)," ")</f>
        <v>20240207</v>
      </c>
      <c r="S490" s="252" t="s">
        <v>185</v>
      </c>
      <c r="T490" s="254" t="str">
        <f>IFERROR(VLOOKUP(S490,TD!$J$34:$K$44,2,0)," ")</f>
        <v>Infraestructura física, mantenimiento y dotación (Sedes construidas, mantenidas reforzadas)</v>
      </c>
      <c r="U490" s="249" t="str">
        <f>CONCATENATE(S490,"-",T490)</f>
        <v>08-Infraestructura física, mantenimiento y dotación (Sedes construidas, mantenidas reforzadas)</v>
      </c>
      <c r="V490" s="252" t="s">
        <v>238</v>
      </c>
      <c r="W490" s="254" t="str">
        <f>IFERROR(VLOOKUP(V490,TD!$N$34:$O$46,2,0)," ")</f>
        <v>Sedes mantenidas</v>
      </c>
      <c r="X490" s="249" t="str">
        <f>CONCATENATE(V490,"_",W490)</f>
        <v>016_Sedes mantenidas</v>
      </c>
      <c r="Y490" s="249" t="str">
        <f>CONCATENATE(U490," ",X490)</f>
        <v>08-Infraestructura física, mantenimiento y dotación (Sedes construidas, mantenidas reforzadas) 016_Sedes mantenidas</v>
      </c>
      <c r="Z490" s="254" t="str">
        <f>CONCATENATE(P490,Q490,R490,S490,V490)</f>
        <v>O23011745992024020708016</v>
      </c>
      <c r="AA490" s="254" t="str">
        <f>IFERROR(VLOOKUP(Y490,TD!$K$47:$L$65,2,0)," ")</f>
        <v>PM/0131/0108/45990160207</v>
      </c>
      <c r="AB490" s="125" t="s">
        <v>138</v>
      </c>
      <c r="AC490" s="255" t="s">
        <v>204</v>
      </c>
    </row>
    <row r="491" spans="2:29" s="28" customFormat="1" ht="56" x14ac:dyDescent="0.35">
      <c r="B491" s="77">
        <v>20250537</v>
      </c>
      <c r="C491" s="50" t="s">
        <v>208</v>
      </c>
      <c r="D491" s="246" t="s">
        <v>166</v>
      </c>
      <c r="E491" s="51" t="s">
        <v>558</v>
      </c>
      <c r="F491" s="246" t="s">
        <v>647</v>
      </c>
      <c r="G491" s="246" t="s">
        <v>155</v>
      </c>
      <c r="H491" s="93" t="s">
        <v>606</v>
      </c>
      <c r="I491" s="247">
        <v>2</v>
      </c>
      <c r="J491" s="247">
        <v>11</v>
      </c>
      <c r="K491" s="52">
        <v>0</v>
      </c>
      <c r="L491" s="53">
        <v>66356829</v>
      </c>
      <c r="M491" s="246" t="s">
        <v>464</v>
      </c>
      <c r="N491" s="53" t="s">
        <v>607</v>
      </c>
      <c r="O491" s="51" t="s">
        <v>219</v>
      </c>
      <c r="P491" s="248" t="str">
        <f>IFERROR(VLOOKUP(C491,TD!$B$33:$F$37,2,0)," ")</f>
        <v>O230117</v>
      </c>
      <c r="Q491" s="248" t="str">
        <f>IFERROR(VLOOKUP(C491,TD!$B$33:$F$37,3,0)," ")</f>
        <v>4599</v>
      </c>
      <c r="R491" s="248">
        <f>IFERROR(VLOOKUP(C491,TD!$B$33:$F$37,4,0)," ")</f>
        <v>20240207</v>
      </c>
      <c r="S491" s="51" t="s">
        <v>185</v>
      </c>
      <c r="T491" s="248" t="str">
        <f>IFERROR(VLOOKUP(S491,TD!$J$34:$K$44,2,0)," ")</f>
        <v>Infraestructura física, mantenimiento y dotación (Sedes construidas, mantenidas reforzadas)</v>
      </c>
      <c r="U491" s="249" t="str">
        <f>CONCATENATE(S491,"-",T491)</f>
        <v>08-Infraestructura física, mantenimiento y dotación (Sedes construidas, mantenidas reforzadas)</v>
      </c>
      <c r="V491" s="51" t="s">
        <v>238</v>
      </c>
      <c r="W491" s="248" t="str">
        <f>IFERROR(VLOOKUP(V491,TD!$N$34:$O$46,2,0)," ")</f>
        <v>Sedes mantenidas</v>
      </c>
      <c r="X491" s="249" t="str">
        <f>CONCATENATE(V491,"_",W491)</f>
        <v>016_Sedes mantenidas</v>
      </c>
      <c r="Y491" s="249" t="str">
        <f>CONCATENATE(U491," ",X491)</f>
        <v>08-Infraestructura física, mantenimiento y dotación (Sedes construidas, mantenidas reforzadas) 016_Sedes mantenidas</v>
      </c>
      <c r="Z491" s="248" t="str">
        <f>CONCATENATE(P491,Q491,R491,S491,V491)</f>
        <v>O23011745992024020708016</v>
      </c>
      <c r="AA491" s="248" t="str">
        <f>IFERROR(VLOOKUP(Y491,TD!$K$47:$L$65,2,0)," ")</f>
        <v>PM/0131/0108/45990160207</v>
      </c>
      <c r="AB491" s="53" t="s">
        <v>138</v>
      </c>
      <c r="AC491" s="250" t="s">
        <v>204</v>
      </c>
    </row>
    <row r="492" spans="2:29" s="28" customFormat="1" ht="56" x14ac:dyDescent="0.35">
      <c r="B492" s="77">
        <v>20250538</v>
      </c>
      <c r="C492" s="50" t="s">
        <v>208</v>
      </c>
      <c r="D492" s="246" t="s">
        <v>166</v>
      </c>
      <c r="E492" s="51" t="s">
        <v>558</v>
      </c>
      <c r="F492" s="246" t="s">
        <v>648</v>
      </c>
      <c r="G492" s="246" t="s">
        <v>155</v>
      </c>
      <c r="H492" s="93" t="s">
        <v>606</v>
      </c>
      <c r="I492" s="247">
        <v>2</v>
      </c>
      <c r="J492" s="247">
        <v>11</v>
      </c>
      <c r="K492" s="52">
        <v>0</v>
      </c>
      <c r="L492" s="53">
        <v>83482560</v>
      </c>
      <c r="M492" s="246" t="s">
        <v>464</v>
      </c>
      <c r="N492" s="53" t="s">
        <v>607</v>
      </c>
      <c r="O492" s="51" t="s">
        <v>219</v>
      </c>
      <c r="P492" s="248" t="str">
        <f>IFERROR(VLOOKUP(C492,TD!$B$33:$F$37,2,0)," ")</f>
        <v>O230117</v>
      </c>
      <c r="Q492" s="248" t="str">
        <f>IFERROR(VLOOKUP(C492,TD!$B$33:$F$37,3,0)," ")</f>
        <v>4599</v>
      </c>
      <c r="R492" s="248">
        <f>IFERROR(VLOOKUP(C492,TD!$B$33:$F$37,4,0)," ")</f>
        <v>20240207</v>
      </c>
      <c r="S492" s="51" t="s">
        <v>185</v>
      </c>
      <c r="T492" s="248" t="str">
        <f>IFERROR(VLOOKUP(S492,TD!$J$34:$K$44,2,0)," ")</f>
        <v>Infraestructura física, mantenimiento y dotación (Sedes construidas, mantenidas reforzadas)</v>
      </c>
      <c r="U492" s="249" t="str">
        <f>CONCATENATE(S492,"-",T492)</f>
        <v>08-Infraestructura física, mantenimiento y dotación (Sedes construidas, mantenidas reforzadas)</v>
      </c>
      <c r="V492" s="51" t="s">
        <v>238</v>
      </c>
      <c r="W492" s="248" t="str">
        <f>IFERROR(VLOOKUP(V492,TD!$N$34:$O$46,2,0)," ")</f>
        <v>Sedes mantenidas</v>
      </c>
      <c r="X492" s="249" t="str">
        <f>CONCATENATE(V492,"_",W492)</f>
        <v>016_Sedes mantenidas</v>
      </c>
      <c r="Y492" s="249" t="str">
        <f>CONCATENATE(U492," ",X492)</f>
        <v>08-Infraestructura física, mantenimiento y dotación (Sedes construidas, mantenidas reforzadas) 016_Sedes mantenidas</v>
      </c>
      <c r="Z492" s="248" t="str">
        <f>CONCATENATE(P492,Q492,R492,S492,V492)</f>
        <v>O23011745992024020708016</v>
      </c>
      <c r="AA492" s="248" t="str">
        <f>IFERROR(VLOOKUP(Y492,TD!$K$47:$L$65,2,0)," ")</f>
        <v>PM/0131/0108/45990160207</v>
      </c>
      <c r="AB492" s="53" t="s">
        <v>120</v>
      </c>
      <c r="AC492" s="250" t="s">
        <v>204</v>
      </c>
    </row>
    <row r="493" spans="2:29" s="28" customFormat="1" ht="56" x14ac:dyDescent="0.35">
      <c r="B493" s="127">
        <v>20250539</v>
      </c>
      <c r="C493" s="129" t="s">
        <v>208</v>
      </c>
      <c r="D493" s="251" t="s">
        <v>166</v>
      </c>
      <c r="E493" s="252" t="s">
        <v>558</v>
      </c>
      <c r="F493" s="251" t="s">
        <v>649</v>
      </c>
      <c r="G493" s="251" t="s">
        <v>156</v>
      </c>
      <c r="H493" s="130" t="s">
        <v>606</v>
      </c>
      <c r="I493" s="253">
        <v>2</v>
      </c>
      <c r="J493" s="253">
        <v>11</v>
      </c>
      <c r="K493" s="126">
        <v>0</v>
      </c>
      <c r="L493" s="125">
        <v>38607615</v>
      </c>
      <c r="M493" s="251" t="s">
        <v>464</v>
      </c>
      <c r="N493" s="125" t="s">
        <v>607</v>
      </c>
      <c r="O493" s="252" t="s">
        <v>219</v>
      </c>
      <c r="P493" s="254" t="str">
        <f>IFERROR(VLOOKUP(C493,TD!$B$33:$F$37,2,0)," ")</f>
        <v>O230117</v>
      </c>
      <c r="Q493" s="254" t="str">
        <f>IFERROR(VLOOKUP(C493,TD!$B$33:$F$37,3,0)," ")</f>
        <v>4599</v>
      </c>
      <c r="R493" s="254">
        <f>IFERROR(VLOOKUP(C493,TD!$B$33:$F$37,4,0)," ")</f>
        <v>20240207</v>
      </c>
      <c r="S493" s="252" t="s">
        <v>185</v>
      </c>
      <c r="T493" s="254" t="str">
        <f>IFERROR(VLOOKUP(S493,TD!$J$34:$K$44,2,0)," ")</f>
        <v>Infraestructura física, mantenimiento y dotación (Sedes construidas, mantenidas reforzadas)</v>
      </c>
      <c r="U493" s="249" t="str">
        <f>CONCATENATE(S493,"-",T493)</f>
        <v>08-Infraestructura física, mantenimiento y dotación (Sedes construidas, mantenidas reforzadas)</v>
      </c>
      <c r="V493" s="252" t="s">
        <v>238</v>
      </c>
      <c r="W493" s="254" t="str">
        <f>IFERROR(VLOOKUP(V493,TD!$N$34:$O$46,2,0)," ")</f>
        <v>Sedes mantenidas</v>
      </c>
      <c r="X493" s="249" t="str">
        <f>CONCATENATE(V493,"_",W493)</f>
        <v>016_Sedes mantenidas</v>
      </c>
      <c r="Y493" s="249" t="str">
        <f>CONCATENATE(U493," ",X493)</f>
        <v>08-Infraestructura física, mantenimiento y dotación (Sedes construidas, mantenidas reforzadas) 016_Sedes mantenidas</v>
      </c>
      <c r="Z493" s="254" t="str">
        <f>CONCATENATE(P493,Q493,R493,S493,V493)</f>
        <v>O23011745992024020708016</v>
      </c>
      <c r="AA493" s="254" t="str">
        <f>IFERROR(VLOOKUP(Y493,TD!$K$47:$L$65,2,0)," ")</f>
        <v>PM/0131/0108/45990160207</v>
      </c>
      <c r="AB493" s="125" t="s">
        <v>138</v>
      </c>
      <c r="AC493" s="255" t="s">
        <v>204</v>
      </c>
    </row>
    <row r="494" spans="2:29" s="28" customFormat="1" ht="42" x14ac:dyDescent="0.35">
      <c r="B494" s="77">
        <v>20250540</v>
      </c>
      <c r="C494" s="50" t="s">
        <v>209</v>
      </c>
      <c r="D494" s="246" t="s">
        <v>166</v>
      </c>
      <c r="E494" s="51" t="s">
        <v>558</v>
      </c>
      <c r="F494" s="246" t="s">
        <v>576</v>
      </c>
      <c r="G494" s="246" t="s">
        <v>155</v>
      </c>
      <c r="H494" s="93" t="s">
        <v>606</v>
      </c>
      <c r="I494" s="247">
        <v>2</v>
      </c>
      <c r="J494" s="247">
        <v>11</v>
      </c>
      <c r="K494" s="52">
        <v>0</v>
      </c>
      <c r="L494" s="53">
        <v>82041174</v>
      </c>
      <c r="M494" s="246" t="s">
        <v>464</v>
      </c>
      <c r="N494" s="53" t="s">
        <v>607</v>
      </c>
      <c r="O494" s="51" t="s">
        <v>228</v>
      </c>
      <c r="P494" s="248" t="str">
        <f>IFERROR(VLOOKUP(C494,TD!$B$33:$F$37,2,0)," ")</f>
        <v>O230117</v>
      </c>
      <c r="Q494" s="248" t="str">
        <f>IFERROR(VLOOKUP(C494,TD!$B$33:$F$37,3,0)," ")</f>
        <v>4503</v>
      </c>
      <c r="R494" s="248">
        <f>IFERROR(VLOOKUP(C494,TD!$B$33:$F$37,4,0)," ")</f>
        <v>20240255</v>
      </c>
      <c r="S494" s="51" t="s">
        <v>185</v>
      </c>
      <c r="T494" s="248" t="str">
        <f>IFERROR(VLOOKUP(S494,TD!$J$34:$K$44,2,0)," ")</f>
        <v>Infraestructura física, mantenimiento y dotación (Sedes construidas, mantenidas reforzadas)</v>
      </c>
      <c r="U494" s="249" t="str">
        <f>CONCATENATE(S494,"-",T494)</f>
        <v>08-Infraestructura física, mantenimiento y dotación (Sedes construidas, mantenidas reforzadas)</v>
      </c>
      <c r="V494" s="51" t="s">
        <v>237</v>
      </c>
      <c r="W494" s="248" t="str">
        <f>IFERROR(VLOOKUP(V494,TD!$N$34:$O$46,2,0)," ")</f>
        <v>Estaciones de bomberos construidas</v>
      </c>
      <c r="X494" s="249" t="str">
        <f>CONCATENATE(V494,"_",W494)</f>
        <v>015_Estaciones de bomberos construidas</v>
      </c>
      <c r="Y494" s="249" t="str">
        <f>CONCATENATE(U494," ",X494)</f>
        <v>08-Infraestructura física, mantenimiento y dotación (Sedes construidas, mantenidas reforzadas) 015_Estaciones de bomberos construidas</v>
      </c>
      <c r="Z494" s="248" t="str">
        <f>CONCATENATE(P494,Q494,R494,S494,V494)</f>
        <v>O23011745032024025508015</v>
      </c>
      <c r="AA494" s="248" t="str">
        <f>IFERROR(VLOOKUP(Y494,TD!$K$47:$L$65,2,0)," ")</f>
        <v>PM/0131/0108/45030150255</v>
      </c>
      <c r="AB494" s="53" t="s">
        <v>138</v>
      </c>
      <c r="AC494" s="250" t="s">
        <v>204</v>
      </c>
    </row>
    <row r="495" spans="2:29" s="28" customFormat="1" ht="56" x14ac:dyDescent="0.35">
      <c r="B495" s="77">
        <v>20250541</v>
      </c>
      <c r="C495" s="50" t="s">
        <v>208</v>
      </c>
      <c r="D495" s="246" t="s">
        <v>166</v>
      </c>
      <c r="E495" s="51" t="s">
        <v>558</v>
      </c>
      <c r="F495" s="246" t="s">
        <v>650</v>
      </c>
      <c r="G495" s="246" t="s">
        <v>156</v>
      </c>
      <c r="H495" s="93" t="s">
        <v>606</v>
      </c>
      <c r="I495" s="247">
        <v>2</v>
      </c>
      <c r="J495" s="247">
        <v>11</v>
      </c>
      <c r="K495" s="52">
        <v>0</v>
      </c>
      <c r="L495" s="53">
        <v>26274624</v>
      </c>
      <c r="M495" s="246" t="s">
        <v>464</v>
      </c>
      <c r="N495" s="53" t="s">
        <v>607</v>
      </c>
      <c r="O495" s="51" t="s">
        <v>219</v>
      </c>
      <c r="P495" s="248" t="str">
        <f>IFERROR(VLOOKUP(C495,TD!$B$33:$F$37,2,0)," ")</f>
        <v>O230117</v>
      </c>
      <c r="Q495" s="248" t="str">
        <f>IFERROR(VLOOKUP(C495,TD!$B$33:$F$37,3,0)," ")</f>
        <v>4599</v>
      </c>
      <c r="R495" s="248">
        <f>IFERROR(VLOOKUP(C495,TD!$B$33:$F$37,4,0)," ")</f>
        <v>20240207</v>
      </c>
      <c r="S495" s="51" t="s">
        <v>185</v>
      </c>
      <c r="T495" s="248" t="str">
        <f>IFERROR(VLOOKUP(S495,TD!$J$34:$K$44,2,0)," ")</f>
        <v>Infraestructura física, mantenimiento y dotación (Sedes construidas, mantenidas reforzadas)</v>
      </c>
      <c r="U495" s="249" t="str">
        <f>CONCATENATE(S495,"-",T495)</f>
        <v>08-Infraestructura física, mantenimiento y dotación (Sedes construidas, mantenidas reforzadas)</v>
      </c>
      <c r="V495" s="51" t="s">
        <v>238</v>
      </c>
      <c r="W495" s="248" t="str">
        <f>IFERROR(VLOOKUP(V495,TD!$N$34:$O$46,2,0)," ")</f>
        <v>Sedes mantenidas</v>
      </c>
      <c r="X495" s="249" t="str">
        <f>CONCATENATE(V495,"_",W495)</f>
        <v>016_Sedes mantenidas</v>
      </c>
      <c r="Y495" s="249" t="str">
        <f>CONCATENATE(U495," ",X495)</f>
        <v>08-Infraestructura física, mantenimiento y dotación (Sedes construidas, mantenidas reforzadas) 016_Sedes mantenidas</v>
      </c>
      <c r="Z495" s="248" t="str">
        <f>CONCATENATE(P495,Q495,R495,S495,V495)</f>
        <v>O23011745992024020708016</v>
      </c>
      <c r="AA495" s="248" t="str">
        <f>IFERROR(VLOOKUP(Y495,TD!$K$47:$L$65,2,0)," ")</f>
        <v>PM/0131/0108/45990160207</v>
      </c>
      <c r="AB495" s="53" t="s">
        <v>138</v>
      </c>
      <c r="AC495" s="250" t="s">
        <v>204</v>
      </c>
    </row>
    <row r="496" spans="2:29" s="28" customFormat="1" ht="56" x14ac:dyDescent="0.35">
      <c r="B496" s="77">
        <v>20250542</v>
      </c>
      <c r="C496" s="50" t="s">
        <v>208</v>
      </c>
      <c r="D496" s="246" t="s">
        <v>166</v>
      </c>
      <c r="E496" s="51" t="s">
        <v>558</v>
      </c>
      <c r="F496" s="246" t="s">
        <v>651</v>
      </c>
      <c r="G496" s="246" t="s">
        <v>155</v>
      </c>
      <c r="H496" s="93" t="s">
        <v>606</v>
      </c>
      <c r="I496" s="247">
        <v>2</v>
      </c>
      <c r="J496" s="247">
        <v>11</v>
      </c>
      <c r="K496" s="52">
        <v>0</v>
      </c>
      <c r="L496" s="53">
        <v>54291951</v>
      </c>
      <c r="M496" s="246" t="s">
        <v>464</v>
      </c>
      <c r="N496" s="53" t="s">
        <v>607</v>
      </c>
      <c r="O496" s="51" t="s">
        <v>219</v>
      </c>
      <c r="P496" s="248" t="str">
        <f>IFERROR(VLOOKUP(C496,TD!$B$33:$F$37,2,0)," ")</f>
        <v>O230117</v>
      </c>
      <c r="Q496" s="248" t="str">
        <f>IFERROR(VLOOKUP(C496,TD!$B$33:$F$37,3,0)," ")</f>
        <v>4599</v>
      </c>
      <c r="R496" s="248">
        <f>IFERROR(VLOOKUP(C496,TD!$B$33:$F$37,4,0)," ")</f>
        <v>20240207</v>
      </c>
      <c r="S496" s="51" t="s">
        <v>185</v>
      </c>
      <c r="T496" s="248" t="str">
        <f>IFERROR(VLOOKUP(S496,TD!$J$34:$K$44,2,0)," ")</f>
        <v>Infraestructura física, mantenimiento y dotación (Sedes construidas, mantenidas reforzadas)</v>
      </c>
      <c r="U496" s="249" t="str">
        <f>CONCATENATE(S496,"-",T496)</f>
        <v>08-Infraestructura física, mantenimiento y dotación (Sedes construidas, mantenidas reforzadas)</v>
      </c>
      <c r="V496" s="51" t="s">
        <v>238</v>
      </c>
      <c r="W496" s="248" t="str">
        <f>IFERROR(VLOOKUP(V496,TD!$N$34:$O$46,2,0)," ")</f>
        <v>Sedes mantenidas</v>
      </c>
      <c r="X496" s="249" t="str">
        <f>CONCATENATE(V496,"_",W496)</f>
        <v>016_Sedes mantenidas</v>
      </c>
      <c r="Y496" s="249" t="str">
        <f>CONCATENATE(U496," ",X496)</f>
        <v>08-Infraestructura física, mantenimiento y dotación (Sedes construidas, mantenidas reforzadas) 016_Sedes mantenidas</v>
      </c>
      <c r="Z496" s="248" t="str">
        <f>CONCATENATE(P496,Q496,R496,S496,V496)</f>
        <v>O23011745992024020708016</v>
      </c>
      <c r="AA496" s="248" t="str">
        <f>IFERROR(VLOOKUP(Y496,TD!$K$47:$L$65,2,0)," ")</f>
        <v>PM/0131/0108/45990160207</v>
      </c>
      <c r="AB496" s="53" t="s">
        <v>138</v>
      </c>
      <c r="AC496" s="250" t="s">
        <v>204</v>
      </c>
    </row>
    <row r="497" spans="2:29" s="28" customFormat="1" ht="56" x14ac:dyDescent="0.35">
      <c r="B497" s="77">
        <v>20250543</v>
      </c>
      <c r="C497" s="50" t="s">
        <v>208</v>
      </c>
      <c r="D497" s="246" t="s">
        <v>166</v>
      </c>
      <c r="E497" s="51" t="s">
        <v>558</v>
      </c>
      <c r="F497" s="246" t="s">
        <v>652</v>
      </c>
      <c r="G497" s="246" t="s">
        <v>156</v>
      </c>
      <c r="H497" s="93" t="s">
        <v>606</v>
      </c>
      <c r="I497" s="247">
        <v>2</v>
      </c>
      <c r="J497" s="247">
        <v>11</v>
      </c>
      <c r="K497" s="52">
        <v>0</v>
      </c>
      <c r="L497" s="53">
        <v>34317880</v>
      </c>
      <c r="M497" s="246" t="s">
        <v>464</v>
      </c>
      <c r="N497" s="53" t="s">
        <v>607</v>
      </c>
      <c r="O497" s="51" t="s">
        <v>219</v>
      </c>
      <c r="P497" s="248" t="str">
        <f>IFERROR(VLOOKUP(C497,TD!$B$33:$F$37,2,0)," ")</f>
        <v>O230117</v>
      </c>
      <c r="Q497" s="248" t="str">
        <f>IFERROR(VLOOKUP(C497,TD!$B$33:$F$37,3,0)," ")</f>
        <v>4599</v>
      </c>
      <c r="R497" s="248">
        <f>IFERROR(VLOOKUP(C497,TD!$B$33:$F$37,4,0)," ")</f>
        <v>20240207</v>
      </c>
      <c r="S497" s="51" t="s">
        <v>185</v>
      </c>
      <c r="T497" s="248" t="str">
        <f>IFERROR(VLOOKUP(S497,TD!$J$34:$K$44,2,0)," ")</f>
        <v>Infraestructura física, mantenimiento y dotación (Sedes construidas, mantenidas reforzadas)</v>
      </c>
      <c r="U497" s="249" t="str">
        <f>CONCATENATE(S497,"-",T497)</f>
        <v>08-Infraestructura física, mantenimiento y dotación (Sedes construidas, mantenidas reforzadas)</v>
      </c>
      <c r="V497" s="51" t="s">
        <v>238</v>
      </c>
      <c r="W497" s="248" t="str">
        <f>IFERROR(VLOOKUP(V497,TD!$N$34:$O$46,2,0)," ")</f>
        <v>Sedes mantenidas</v>
      </c>
      <c r="X497" s="249" t="str">
        <f>CONCATENATE(V497,"_",W497)</f>
        <v>016_Sedes mantenidas</v>
      </c>
      <c r="Y497" s="249" t="str">
        <f>CONCATENATE(U497," ",X497)</f>
        <v>08-Infraestructura física, mantenimiento y dotación (Sedes construidas, mantenidas reforzadas) 016_Sedes mantenidas</v>
      </c>
      <c r="Z497" s="248" t="str">
        <f>CONCATENATE(P497,Q497,R497,S497,V497)</f>
        <v>O23011745992024020708016</v>
      </c>
      <c r="AA497" s="248" t="str">
        <f>IFERROR(VLOOKUP(Y497,TD!$K$47:$L$65,2,0)," ")</f>
        <v>PM/0131/0108/45990160207</v>
      </c>
      <c r="AB497" s="53" t="s">
        <v>138</v>
      </c>
      <c r="AC497" s="250" t="s">
        <v>204</v>
      </c>
    </row>
    <row r="498" spans="2:29" s="28" customFormat="1" ht="56" x14ac:dyDescent="0.35">
      <c r="B498" s="77">
        <v>20250544</v>
      </c>
      <c r="C498" s="50" t="s">
        <v>208</v>
      </c>
      <c r="D498" s="246" t="s">
        <v>166</v>
      </c>
      <c r="E498" s="51" t="s">
        <v>558</v>
      </c>
      <c r="F498" s="246" t="s">
        <v>653</v>
      </c>
      <c r="G498" s="246" t="s">
        <v>155</v>
      </c>
      <c r="H498" s="93" t="s">
        <v>606</v>
      </c>
      <c r="I498" s="247">
        <v>2</v>
      </c>
      <c r="J498" s="247">
        <v>11</v>
      </c>
      <c r="K498" s="52">
        <v>0</v>
      </c>
      <c r="L498" s="53">
        <v>66356829</v>
      </c>
      <c r="M498" s="246" t="s">
        <v>464</v>
      </c>
      <c r="N498" s="53" t="s">
        <v>607</v>
      </c>
      <c r="O498" s="51" t="s">
        <v>219</v>
      </c>
      <c r="P498" s="248" t="str">
        <f>IFERROR(VLOOKUP(C498,TD!$B$33:$F$37,2,0)," ")</f>
        <v>O230117</v>
      </c>
      <c r="Q498" s="248" t="str">
        <f>IFERROR(VLOOKUP(C498,TD!$B$33:$F$37,3,0)," ")</f>
        <v>4599</v>
      </c>
      <c r="R498" s="248">
        <f>IFERROR(VLOOKUP(C498,TD!$B$33:$F$37,4,0)," ")</f>
        <v>20240207</v>
      </c>
      <c r="S498" s="51" t="s">
        <v>185</v>
      </c>
      <c r="T498" s="248" t="str">
        <f>IFERROR(VLOOKUP(S498,TD!$J$34:$K$44,2,0)," ")</f>
        <v>Infraestructura física, mantenimiento y dotación (Sedes construidas, mantenidas reforzadas)</v>
      </c>
      <c r="U498" s="249" t="str">
        <f>CONCATENATE(S498,"-",T498)</f>
        <v>08-Infraestructura física, mantenimiento y dotación (Sedes construidas, mantenidas reforzadas)</v>
      </c>
      <c r="V498" s="51" t="s">
        <v>238</v>
      </c>
      <c r="W498" s="248" t="str">
        <f>IFERROR(VLOOKUP(V498,TD!$N$34:$O$46,2,0)," ")</f>
        <v>Sedes mantenidas</v>
      </c>
      <c r="X498" s="249" t="str">
        <f>CONCATENATE(V498,"_",W498)</f>
        <v>016_Sedes mantenidas</v>
      </c>
      <c r="Y498" s="249" t="str">
        <f>CONCATENATE(U498," ",X498)</f>
        <v>08-Infraestructura física, mantenimiento y dotación (Sedes construidas, mantenidas reforzadas) 016_Sedes mantenidas</v>
      </c>
      <c r="Z498" s="248" t="str">
        <f>CONCATENATE(P498,Q498,R498,S498,V498)</f>
        <v>O23011745992024020708016</v>
      </c>
      <c r="AA498" s="248" t="str">
        <f>IFERROR(VLOOKUP(Y498,TD!$K$47:$L$65,2,0)," ")</f>
        <v>PM/0131/0108/45990160207</v>
      </c>
      <c r="AB498" s="53" t="s">
        <v>138</v>
      </c>
      <c r="AC498" s="250" t="s">
        <v>204</v>
      </c>
    </row>
    <row r="499" spans="2:29" s="28" customFormat="1" ht="56" x14ac:dyDescent="0.35">
      <c r="B499" s="77">
        <v>20250545</v>
      </c>
      <c r="C499" s="50" t="s">
        <v>208</v>
      </c>
      <c r="D499" s="246" t="s">
        <v>166</v>
      </c>
      <c r="E499" s="51" t="s">
        <v>558</v>
      </c>
      <c r="F499" s="246" t="s">
        <v>654</v>
      </c>
      <c r="G499" s="246" t="s">
        <v>155</v>
      </c>
      <c r="H499" s="93" t="s">
        <v>606</v>
      </c>
      <c r="I499" s="247">
        <v>2</v>
      </c>
      <c r="J499" s="247">
        <v>11</v>
      </c>
      <c r="K499" s="52">
        <v>0</v>
      </c>
      <c r="L499" s="53">
        <v>41288696</v>
      </c>
      <c r="M499" s="246" t="s">
        <v>464</v>
      </c>
      <c r="N499" s="53" t="s">
        <v>607</v>
      </c>
      <c r="O499" s="51" t="s">
        <v>219</v>
      </c>
      <c r="P499" s="248" t="str">
        <f>IFERROR(VLOOKUP(C499,TD!$B$33:$F$37,2,0)," ")</f>
        <v>O230117</v>
      </c>
      <c r="Q499" s="248" t="str">
        <f>IFERROR(VLOOKUP(C499,TD!$B$33:$F$37,3,0)," ")</f>
        <v>4599</v>
      </c>
      <c r="R499" s="248">
        <f>IFERROR(VLOOKUP(C499,TD!$B$33:$F$37,4,0)," ")</f>
        <v>20240207</v>
      </c>
      <c r="S499" s="51" t="s">
        <v>185</v>
      </c>
      <c r="T499" s="248" t="str">
        <f>IFERROR(VLOOKUP(S499,TD!$J$34:$K$44,2,0)," ")</f>
        <v>Infraestructura física, mantenimiento y dotación (Sedes construidas, mantenidas reforzadas)</v>
      </c>
      <c r="U499" s="249" t="str">
        <f>CONCATENATE(S499,"-",T499)</f>
        <v>08-Infraestructura física, mantenimiento y dotación (Sedes construidas, mantenidas reforzadas)</v>
      </c>
      <c r="V499" s="51" t="s">
        <v>238</v>
      </c>
      <c r="W499" s="248" t="str">
        <f>IFERROR(VLOOKUP(V499,TD!$N$34:$O$46,2,0)," ")</f>
        <v>Sedes mantenidas</v>
      </c>
      <c r="X499" s="249" t="str">
        <f>CONCATENATE(V499,"_",W499)</f>
        <v>016_Sedes mantenidas</v>
      </c>
      <c r="Y499" s="249" t="str">
        <f>CONCATENATE(U499," ",X499)</f>
        <v>08-Infraestructura física, mantenimiento y dotación (Sedes construidas, mantenidas reforzadas) 016_Sedes mantenidas</v>
      </c>
      <c r="Z499" s="248" t="str">
        <f>CONCATENATE(P499,Q499,R499,S499,V499)</f>
        <v>O23011745992024020708016</v>
      </c>
      <c r="AA499" s="248" t="str">
        <f>IFERROR(VLOOKUP(Y499,TD!$K$47:$L$65,2,0)," ")</f>
        <v>PM/0131/0108/45990160207</v>
      </c>
      <c r="AB499" s="53" t="s">
        <v>138</v>
      </c>
      <c r="AC499" s="250" t="s">
        <v>204</v>
      </c>
    </row>
    <row r="500" spans="2:29" s="28" customFormat="1" ht="56" x14ac:dyDescent="0.35">
      <c r="B500" s="77">
        <v>20250546</v>
      </c>
      <c r="C500" s="50" t="s">
        <v>209</v>
      </c>
      <c r="D500" s="246" t="s">
        <v>166</v>
      </c>
      <c r="E500" s="51" t="s">
        <v>558</v>
      </c>
      <c r="F500" s="246" t="s">
        <v>655</v>
      </c>
      <c r="G500" s="246" t="s">
        <v>155</v>
      </c>
      <c r="H500" s="93" t="s">
        <v>606</v>
      </c>
      <c r="I500" s="247">
        <v>2</v>
      </c>
      <c r="J500" s="247">
        <v>11</v>
      </c>
      <c r="K500" s="52">
        <v>0</v>
      </c>
      <c r="L500" s="53">
        <v>54694112</v>
      </c>
      <c r="M500" s="246" t="s">
        <v>464</v>
      </c>
      <c r="N500" s="53" t="s">
        <v>607</v>
      </c>
      <c r="O500" s="51" t="s">
        <v>227</v>
      </c>
      <c r="P500" s="248" t="str">
        <f>IFERROR(VLOOKUP(C500,TD!$B$33:$F$37,2,0)," ")</f>
        <v>O230117</v>
      </c>
      <c r="Q500" s="248" t="str">
        <f>IFERROR(VLOOKUP(C500,TD!$B$33:$F$37,3,0)," ")</f>
        <v>4503</v>
      </c>
      <c r="R500" s="248">
        <f>IFERROR(VLOOKUP(C500,TD!$B$33:$F$37,4,0)," ")</f>
        <v>20240255</v>
      </c>
      <c r="S500" s="51" t="s">
        <v>185</v>
      </c>
      <c r="T500" s="248" t="str">
        <f>IFERROR(VLOOKUP(S500,TD!$J$34:$K$44,2,0)," ")</f>
        <v>Infraestructura física, mantenimiento y dotación (Sedes construidas, mantenidas reforzadas)</v>
      </c>
      <c r="U500" s="249" t="str">
        <f>CONCATENATE(S500,"-",T500)</f>
        <v>08-Infraestructura física, mantenimiento y dotación (Sedes construidas, mantenidas reforzadas)</v>
      </c>
      <c r="V500" s="51" t="s">
        <v>236</v>
      </c>
      <c r="W500" s="248" t="str">
        <f>IFERROR(VLOOKUP(V500,TD!$N$34:$O$46,2,0)," ")</f>
        <v>Estaciones de bomberos adecuadas</v>
      </c>
      <c r="X500" s="249" t="str">
        <f>CONCATENATE(V500,"_",W500)</f>
        <v>014_Estaciones de bomberos adecuadas</v>
      </c>
      <c r="Y500" s="249" t="str">
        <f>CONCATENATE(U500," ",X500)</f>
        <v>08-Infraestructura física, mantenimiento y dotación (Sedes construidas, mantenidas reforzadas) 014_Estaciones de bomberos adecuadas</v>
      </c>
      <c r="Z500" s="248" t="str">
        <f>CONCATENATE(P500,Q500,R500,S500,V500)</f>
        <v>O23011745032024025508014</v>
      </c>
      <c r="AA500" s="248" t="str">
        <f>IFERROR(VLOOKUP(Y500,TD!$K$47:$L$65,2,0)," ")</f>
        <v>PM/0131/0108/45030140255</v>
      </c>
      <c r="AB500" s="53" t="s">
        <v>662</v>
      </c>
      <c r="AC500" s="250" t="s">
        <v>204</v>
      </c>
    </row>
    <row r="501" spans="2:29" s="28" customFormat="1" ht="56" x14ac:dyDescent="0.35">
      <c r="B501" s="127">
        <v>20250547</v>
      </c>
      <c r="C501" s="129" t="s">
        <v>209</v>
      </c>
      <c r="D501" s="251" t="s">
        <v>166</v>
      </c>
      <c r="E501" s="252" t="s">
        <v>558</v>
      </c>
      <c r="F501" s="251" t="s">
        <v>656</v>
      </c>
      <c r="G501" s="251" t="s">
        <v>155</v>
      </c>
      <c r="H501" s="130" t="s">
        <v>606</v>
      </c>
      <c r="I501" s="253">
        <v>2</v>
      </c>
      <c r="J501" s="253">
        <v>11</v>
      </c>
      <c r="K501" s="126">
        <v>0</v>
      </c>
      <c r="L501" s="125">
        <v>49000000</v>
      </c>
      <c r="M501" s="251" t="s">
        <v>464</v>
      </c>
      <c r="N501" s="125" t="s">
        <v>607</v>
      </c>
      <c r="O501" s="252" t="s">
        <v>228</v>
      </c>
      <c r="P501" s="254" t="str">
        <f>IFERROR(VLOOKUP(C501,TD!$B$33:$F$37,2,0)," ")</f>
        <v>O230117</v>
      </c>
      <c r="Q501" s="254" t="str">
        <f>IFERROR(VLOOKUP(C501,TD!$B$33:$F$37,3,0)," ")</f>
        <v>4503</v>
      </c>
      <c r="R501" s="254">
        <f>IFERROR(VLOOKUP(C501,TD!$B$33:$F$37,4,0)," ")</f>
        <v>20240255</v>
      </c>
      <c r="S501" s="252" t="s">
        <v>185</v>
      </c>
      <c r="T501" s="254" t="str">
        <f>IFERROR(VLOOKUP(S501,TD!$J$34:$K$44,2,0)," ")</f>
        <v>Infraestructura física, mantenimiento y dotación (Sedes construidas, mantenidas reforzadas)</v>
      </c>
      <c r="U501" s="249" t="str">
        <f>CONCATENATE(S501,"-",T501)</f>
        <v>08-Infraestructura física, mantenimiento y dotación (Sedes construidas, mantenidas reforzadas)</v>
      </c>
      <c r="V501" s="252" t="s">
        <v>237</v>
      </c>
      <c r="W501" s="254" t="str">
        <f>IFERROR(VLOOKUP(V501,TD!$N$34:$O$46,2,0)," ")</f>
        <v>Estaciones de bomberos construidas</v>
      </c>
      <c r="X501" s="249" t="str">
        <f>CONCATENATE(V501,"_",W501)</f>
        <v>015_Estaciones de bomberos construidas</v>
      </c>
      <c r="Y501" s="249" t="str">
        <f>CONCATENATE(U501," ",X501)</f>
        <v>08-Infraestructura física, mantenimiento y dotación (Sedes construidas, mantenidas reforzadas) 015_Estaciones de bomberos construidas</v>
      </c>
      <c r="Z501" s="254" t="str">
        <f>CONCATENATE(P501,Q501,R501,S501,V501)</f>
        <v>O23011745032024025508015</v>
      </c>
      <c r="AA501" s="254" t="str">
        <f>IFERROR(VLOOKUP(Y501,TD!$K$47:$L$65,2,0)," ")</f>
        <v>PM/0131/0108/45030150255</v>
      </c>
      <c r="AB501" s="125" t="s">
        <v>120</v>
      </c>
      <c r="AC501" s="255" t="s">
        <v>204</v>
      </c>
    </row>
    <row r="502" spans="2:29" s="28" customFormat="1" ht="56" x14ac:dyDescent="0.35">
      <c r="B502" s="127">
        <v>20250548</v>
      </c>
      <c r="C502" s="129" t="s">
        <v>209</v>
      </c>
      <c r="D502" s="251" t="s">
        <v>166</v>
      </c>
      <c r="E502" s="252" t="s">
        <v>558</v>
      </c>
      <c r="F502" s="251" t="s">
        <v>657</v>
      </c>
      <c r="G502" s="251" t="s">
        <v>155</v>
      </c>
      <c r="H502" s="130" t="s">
        <v>606</v>
      </c>
      <c r="I502" s="253">
        <v>2</v>
      </c>
      <c r="J502" s="253">
        <v>11</v>
      </c>
      <c r="K502" s="126">
        <v>0</v>
      </c>
      <c r="L502" s="125">
        <v>49000000</v>
      </c>
      <c r="M502" s="251" t="s">
        <v>464</v>
      </c>
      <c r="N502" s="125" t="s">
        <v>607</v>
      </c>
      <c r="O502" s="252" t="s">
        <v>230</v>
      </c>
      <c r="P502" s="254" t="str">
        <f>IFERROR(VLOOKUP(C502,TD!$B$33:$F$37,2,0)," ")</f>
        <v>O230117</v>
      </c>
      <c r="Q502" s="254" t="str">
        <f>IFERROR(VLOOKUP(C502,TD!$B$33:$F$37,3,0)," ")</f>
        <v>4503</v>
      </c>
      <c r="R502" s="254">
        <f>IFERROR(VLOOKUP(C502,TD!$B$33:$F$37,4,0)," ")</f>
        <v>20240255</v>
      </c>
      <c r="S502" s="252" t="s">
        <v>185</v>
      </c>
      <c r="T502" s="254" t="str">
        <f>IFERROR(VLOOKUP(S502,TD!$J$34:$K$44,2,0)," ")</f>
        <v>Infraestructura física, mantenimiento y dotación (Sedes construidas, mantenidas reforzadas)</v>
      </c>
      <c r="U502" s="249" t="str">
        <f>CONCATENATE(S502,"-",T502)</f>
        <v>08-Infraestructura física, mantenimiento y dotación (Sedes construidas, mantenidas reforzadas)</v>
      </c>
      <c r="V502" s="252" t="s">
        <v>294</v>
      </c>
      <c r="W502" s="254" t="str">
        <f>IFERROR(VLOOKUP(V502,TD!$N$34:$O$46,2,0)," ")</f>
        <v>Documentos de lineamientos técnicos</v>
      </c>
      <c r="X502" s="249" t="str">
        <f>CONCATENATE(V502,"_",W502)</f>
        <v>031__Documentos de lineamientos técnicos</v>
      </c>
      <c r="Y502" s="249" t="str">
        <f>CONCATENATE(U502," ",X502)</f>
        <v>08-Infraestructura física, mantenimiento y dotación (Sedes construidas, mantenidas reforzadas) 031__Documentos de lineamientos técnicos</v>
      </c>
      <c r="Z502" s="254" t="str">
        <f>CONCATENATE(P502,Q502,R502,S502,V502)</f>
        <v>O23011745032024025508031_</v>
      </c>
      <c r="AA502" s="254" t="str">
        <f>IFERROR(VLOOKUP(Y502,TD!$K$47:$L$65,2,0)," ")</f>
        <v>PM/0131/0108/45030310255</v>
      </c>
      <c r="AB502" s="125" t="s">
        <v>662</v>
      </c>
      <c r="AC502" s="255" t="s">
        <v>204</v>
      </c>
    </row>
    <row r="503" spans="2:29" s="28" customFormat="1" ht="56" x14ac:dyDescent="0.35">
      <c r="B503" s="77">
        <v>20250549</v>
      </c>
      <c r="C503" s="50" t="s">
        <v>209</v>
      </c>
      <c r="D503" s="246" t="s">
        <v>166</v>
      </c>
      <c r="E503" s="51" t="s">
        <v>558</v>
      </c>
      <c r="F503" s="246" t="s">
        <v>658</v>
      </c>
      <c r="G503" s="246" t="s">
        <v>155</v>
      </c>
      <c r="H503" s="93" t="s">
        <v>606</v>
      </c>
      <c r="I503" s="247">
        <v>2</v>
      </c>
      <c r="J503" s="247">
        <v>11</v>
      </c>
      <c r="K503" s="52">
        <v>0</v>
      </c>
      <c r="L503" s="53">
        <v>54291951</v>
      </c>
      <c r="M503" s="246" t="s">
        <v>464</v>
      </c>
      <c r="N503" s="53" t="s">
        <v>607</v>
      </c>
      <c r="O503" s="51" t="s">
        <v>227</v>
      </c>
      <c r="P503" s="248" t="str">
        <f>IFERROR(VLOOKUP(C503,TD!$B$33:$F$37,2,0)," ")</f>
        <v>O230117</v>
      </c>
      <c r="Q503" s="248" t="str">
        <f>IFERROR(VLOOKUP(C503,TD!$B$33:$F$37,3,0)," ")</f>
        <v>4503</v>
      </c>
      <c r="R503" s="248">
        <f>IFERROR(VLOOKUP(C503,TD!$B$33:$F$37,4,0)," ")</f>
        <v>20240255</v>
      </c>
      <c r="S503" s="51" t="s">
        <v>185</v>
      </c>
      <c r="T503" s="248" t="str">
        <f>IFERROR(VLOOKUP(S503,TD!$J$34:$K$44,2,0)," ")</f>
        <v>Infraestructura física, mantenimiento y dotación (Sedes construidas, mantenidas reforzadas)</v>
      </c>
      <c r="U503" s="249" t="str">
        <f>CONCATENATE(S503,"-",T503)</f>
        <v>08-Infraestructura física, mantenimiento y dotación (Sedes construidas, mantenidas reforzadas)</v>
      </c>
      <c r="V503" s="51" t="s">
        <v>236</v>
      </c>
      <c r="W503" s="248" t="str">
        <f>IFERROR(VLOOKUP(V503,TD!$N$34:$O$46,2,0)," ")</f>
        <v>Estaciones de bomberos adecuadas</v>
      </c>
      <c r="X503" s="249" t="str">
        <f>CONCATENATE(V503,"_",W503)</f>
        <v>014_Estaciones de bomberos adecuadas</v>
      </c>
      <c r="Y503" s="249" t="str">
        <f>CONCATENATE(U503," ",X503)</f>
        <v>08-Infraestructura física, mantenimiento y dotación (Sedes construidas, mantenidas reforzadas) 014_Estaciones de bomberos adecuadas</v>
      </c>
      <c r="Z503" s="248" t="str">
        <f>CONCATENATE(P503,Q503,R503,S503,V503)</f>
        <v>O23011745032024025508014</v>
      </c>
      <c r="AA503" s="248" t="str">
        <f>IFERROR(VLOOKUP(Y503,TD!$K$47:$L$65,2,0)," ")</f>
        <v>PM/0131/0108/45030140255</v>
      </c>
      <c r="AB503" s="53" t="s">
        <v>662</v>
      </c>
      <c r="AC503" s="250" t="s">
        <v>204</v>
      </c>
    </row>
    <row r="504" spans="2:29" s="28" customFormat="1" ht="56" x14ac:dyDescent="0.35">
      <c r="B504" s="77">
        <v>20250550</v>
      </c>
      <c r="C504" s="50" t="s">
        <v>209</v>
      </c>
      <c r="D504" s="246" t="s">
        <v>166</v>
      </c>
      <c r="E504" s="51" t="s">
        <v>558</v>
      </c>
      <c r="F504" s="246" t="s">
        <v>659</v>
      </c>
      <c r="G504" s="246" t="s">
        <v>155</v>
      </c>
      <c r="H504" s="93" t="s">
        <v>606</v>
      </c>
      <c r="I504" s="247">
        <v>2</v>
      </c>
      <c r="J504" s="247">
        <v>11</v>
      </c>
      <c r="K504" s="52">
        <v>0</v>
      </c>
      <c r="L504" s="53">
        <v>60000000</v>
      </c>
      <c r="M504" s="246" t="s">
        <v>464</v>
      </c>
      <c r="N504" s="53" t="s">
        <v>607</v>
      </c>
      <c r="O504" s="51" t="s">
        <v>227</v>
      </c>
      <c r="P504" s="248" t="str">
        <f>IFERROR(VLOOKUP(C504,TD!$B$33:$F$37,2,0)," ")</f>
        <v>O230117</v>
      </c>
      <c r="Q504" s="248" t="str">
        <f>IFERROR(VLOOKUP(C504,TD!$B$33:$F$37,3,0)," ")</f>
        <v>4503</v>
      </c>
      <c r="R504" s="248">
        <f>IFERROR(VLOOKUP(C504,TD!$B$33:$F$37,4,0)," ")</f>
        <v>20240255</v>
      </c>
      <c r="S504" s="51" t="s">
        <v>185</v>
      </c>
      <c r="T504" s="248" t="str">
        <f>IFERROR(VLOOKUP(S504,TD!$J$34:$K$44,2,0)," ")</f>
        <v>Infraestructura física, mantenimiento y dotación (Sedes construidas, mantenidas reforzadas)</v>
      </c>
      <c r="U504" s="249" t="str">
        <f>CONCATENATE(S504,"-",T504)</f>
        <v>08-Infraestructura física, mantenimiento y dotación (Sedes construidas, mantenidas reforzadas)</v>
      </c>
      <c r="V504" s="51" t="s">
        <v>236</v>
      </c>
      <c r="W504" s="248" t="str">
        <f>IFERROR(VLOOKUP(V504,TD!$N$34:$O$46,2,0)," ")</f>
        <v>Estaciones de bomberos adecuadas</v>
      </c>
      <c r="X504" s="249" t="str">
        <f>CONCATENATE(V504,"_",W504)</f>
        <v>014_Estaciones de bomberos adecuadas</v>
      </c>
      <c r="Y504" s="249" t="str">
        <f>CONCATENATE(U504," ",X504)</f>
        <v>08-Infraestructura física, mantenimiento y dotación (Sedes construidas, mantenidas reforzadas) 014_Estaciones de bomberos adecuadas</v>
      </c>
      <c r="Z504" s="248" t="str">
        <f>CONCATENATE(P504,Q504,R504,S504,V504)</f>
        <v>O23011745032024025508014</v>
      </c>
      <c r="AA504" s="248" t="str">
        <f>IFERROR(VLOOKUP(Y504,TD!$K$47:$L$65,2,0)," ")</f>
        <v>PM/0131/0108/45030140255</v>
      </c>
      <c r="AB504" s="53" t="s">
        <v>662</v>
      </c>
      <c r="AC504" s="250" t="s">
        <v>204</v>
      </c>
    </row>
    <row r="505" spans="2:29" s="28" customFormat="1" ht="56" x14ac:dyDescent="0.35">
      <c r="B505" s="77">
        <v>20250551</v>
      </c>
      <c r="C505" s="50" t="s">
        <v>208</v>
      </c>
      <c r="D505" s="246" t="s">
        <v>166</v>
      </c>
      <c r="E505" s="51" t="s">
        <v>558</v>
      </c>
      <c r="F505" s="246" t="s">
        <v>568</v>
      </c>
      <c r="G505" s="246" t="s">
        <v>156</v>
      </c>
      <c r="H505" s="93" t="s">
        <v>606</v>
      </c>
      <c r="I505" s="247">
        <v>2</v>
      </c>
      <c r="J505" s="247">
        <v>11</v>
      </c>
      <c r="K505" s="52">
        <v>0</v>
      </c>
      <c r="L505" s="53">
        <v>25336251</v>
      </c>
      <c r="M505" s="246" t="s">
        <v>464</v>
      </c>
      <c r="N505" s="53" t="s">
        <v>607</v>
      </c>
      <c r="O505" s="51" t="s">
        <v>219</v>
      </c>
      <c r="P505" s="248" t="str">
        <f>IFERROR(VLOOKUP(C505,TD!$B$33:$F$37,2,0)," ")</f>
        <v>O230117</v>
      </c>
      <c r="Q505" s="248" t="str">
        <f>IFERROR(VLOOKUP(C505,TD!$B$33:$F$37,3,0)," ")</f>
        <v>4599</v>
      </c>
      <c r="R505" s="248">
        <f>IFERROR(VLOOKUP(C505,TD!$B$33:$F$37,4,0)," ")</f>
        <v>20240207</v>
      </c>
      <c r="S505" s="51" t="s">
        <v>185</v>
      </c>
      <c r="T505" s="248" t="str">
        <f>IFERROR(VLOOKUP(S505,TD!$J$34:$K$44,2,0)," ")</f>
        <v>Infraestructura física, mantenimiento y dotación (Sedes construidas, mantenidas reforzadas)</v>
      </c>
      <c r="U505" s="249" t="str">
        <f>CONCATENATE(S505,"-",T505)</f>
        <v>08-Infraestructura física, mantenimiento y dotación (Sedes construidas, mantenidas reforzadas)</v>
      </c>
      <c r="V505" s="51" t="s">
        <v>238</v>
      </c>
      <c r="W505" s="248" t="str">
        <f>IFERROR(VLOOKUP(V505,TD!$N$34:$O$46,2,0)," ")</f>
        <v>Sedes mantenidas</v>
      </c>
      <c r="X505" s="249" t="str">
        <f>CONCATENATE(V505,"_",W505)</f>
        <v>016_Sedes mantenidas</v>
      </c>
      <c r="Y505" s="249" t="str">
        <f>CONCATENATE(U505," ",X505)</f>
        <v>08-Infraestructura física, mantenimiento y dotación (Sedes construidas, mantenidas reforzadas) 016_Sedes mantenidas</v>
      </c>
      <c r="Z505" s="248" t="str">
        <f>CONCATENATE(P505,Q505,R505,S505,V505)</f>
        <v>O23011745992024020708016</v>
      </c>
      <c r="AA505" s="248" t="str">
        <f>IFERROR(VLOOKUP(Y505,TD!$K$47:$L$65,2,0)," ")</f>
        <v>PM/0131/0108/45990160207</v>
      </c>
      <c r="AB505" s="53" t="s">
        <v>138</v>
      </c>
      <c r="AC505" s="250" t="s">
        <v>204</v>
      </c>
    </row>
    <row r="506" spans="2:29" s="28" customFormat="1" ht="70" x14ac:dyDescent="0.35">
      <c r="B506" s="77">
        <v>20250552</v>
      </c>
      <c r="C506" s="50" t="s">
        <v>208</v>
      </c>
      <c r="D506" s="246" t="s">
        <v>166</v>
      </c>
      <c r="E506" s="51" t="s">
        <v>558</v>
      </c>
      <c r="F506" s="246" t="s">
        <v>568</v>
      </c>
      <c r="G506" s="246" t="s">
        <v>156</v>
      </c>
      <c r="H506" s="93" t="s">
        <v>606</v>
      </c>
      <c r="I506" s="247">
        <v>2</v>
      </c>
      <c r="J506" s="247">
        <v>11</v>
      </c>
      <c r="K506" s="52">
        <v>0</v>
      </c>
      <c r="L506" s="53">
        <v>25336251</v>
      </c>
      <c r="M506" s="246" t="s">
        <v>464</v>
      </c>
      <c r="N506" s="53" t="s">
        <v>607</v>
      </c>
      <c r="O506" s="51" t="s">
        <v>219</v>
      </c>
      <c r="P506" s="248" t="str">
        <f>IFERROR(VLOOKUP(C506,TD!$B$33:$F$37,2,0)," ")</f>
        <v>O230117</v>
      </c>
      <c r="Q506" s="248" t="str">
        <f>IFERROR(VLOOKUP(C506,TD!$B$33:$F$37,3,0)," ")</f>
        <v>4599</v>
      </c>
      <c r="R506" s="248">
        <f>IFERROR(VLOOKUP(C506,TD!$B$33:$F$37,4,0)," ")</f>
        <v>20240207</v>
      </c>
      <c r="S506" s="51" t="s">
        <v>185</v>
      </c>
      <c r="T506" s="248" t="str">
        <f>IFERROR(VLOOKUP(S506,TD!$J$34:$K$44,2,0)," ")</f>
        <v>Infraestructura física, mantenimiento y dotación (Sedes construidas, mantenidas reforzadas)</v>
      </c>
      <c r="U506" s="249" t="str">
        <f>CONCATENATE(S506,"-",T506)</f>
        <v>08-Infraestructura física, mantenimiento y dotación (Sedes construidas, mantenidas reforzadas)</v>
      </c>
      <c r="V506" s="51" t="s">
        <v>238</v>
      </c>
      <c r="W506" s="248" t="str">
        <f>IFERROR(VLOOKUP(V506,TD!$N$34:$O$46,2,0)," ")</f>
        <v>Sedes mantenidas</v>
      </c>
      <c r="X506" s="249" t="str">
        <f>CONCATENATE(V506,"_",W506)</f>
        <v>016_Sedes mantenidas</v>
      </c>
      <c r="Y506" s="249" t="str">
        <f>CONCATENATE(U506," ",X506)</f>
        <v>08-Infraestructura física, mantenimiento y dotación (Sedes construidas, mantenidas reforzadas) 016_Sedes mantenidas</v>
      </c>
      <c r="Z506" s="248" t="str">
        <f>CONCATENATE(P506,Q506,R506,S506,V506)</f>
        <v>O23011745992024020708016</v>
      </c>
      <c r="AA506" s="248" t="str">
        <f>IFERROR(VLOOKUP(Y506,TD!$K$47:$L$65,2,0)," ")</f>
        <v>PM/0131/0108/45990160207</v>
      </c>
      <c r="AB506" s="53" t="s">
        <v>138</v>
      </c>
      <c r="AC506" s="250" t="s">
        <v>204</v>
      </c>
    </row>
    <row r="507" spans="2:29" s="28" customFormat="1" ht="112" x14ac:dyDescent="0.35">
      <c r="B507" s="77">
        <v>20250553</v>
      </c>
      <c r="C507" s="50" t="s">
        <v>208</v>
      </c>
      <c r="D507" s="246" t="s">
        <v>166</v>
      </c>
      <c r="E507" s="51" t="s">
        <v>558</v>
      </c>
      <c r="F507" s="246" t="s">
        <v>946</v>
      </c>
      <c r="G507" s="246" t="s">
        <v>155</v>
      </c>
      <c r="H507" s="93" t="s">
        <v>606</v>
      </c>
      <c r="I507" s="247">
        <v>2</v>
      </c>
      <c r="J507" s="247">
        <v>6</v>
      </c>
      <c r="K507" s="52">
        <v>0</v>
      </c>
      <c r="L507" s="53">
        <v>30965000</v>
      </c>
      <c r="M507" s="246" t="s">
        <v>464</v>
      </c>
      <c r="N507" s="53" t="s">
        <v>607</v>
      </c>
      <c r="O507" s="51" t="s">
        <v>218</v>
      </c>
      <c r="P507" s="248" t="str">
        <f>IFERROR(VLOOKUP(C507,TD!$B$33:$F$37,2,0)," ")</f>
        <v>O230117</v>
      </c>
      <c r="Q507" s="248" t="str">
        <f>IFERROR(VLOOKUP(C507,TD!$B$33:$F$37,3,0)," ")</f>
        <v>4599</v>
      </c>
      <c r="R507" s="248">
        <f>IFERROR(VLOOKUP(C507,TD!$B$33:$F$37,4,0)," ")</f>
        <v>20240207</v>
      </c>
      <c r="S507" s="51" t="s">
        <v>185</v>
      </c>
      <c r="T507" s="248" t="str">
        <f>IFERROR(VLOOKUP(S507,TD!$J$34:$K$44,2,0)," ")</f>
        <v>Infraestructura física, mantenimiento y dotación (Sedes construidas, mantenidas reforzadas)</v>
      </c>
      <c r="U507" s="249" t="str">
        <f>CONCATENATE(S507,"-",T507)</f>
        <v>08-Infraestructura física, mantenimiento y dotación (Sedes construidas, mantenidas reforzadas)</v>
      </c>
      <c r="V507" s="51" t="s">
        <v>238</v>
      </c>
      <c r="W507" s="248" t="str">
        <f>IFERROR(VLOOKUP(V507,TD!$N$34:$O$46,2,0)," ")</f>
        <v>Sedes mantenidas</v>
      </c>
      <c r="X507" s="249" t="str">
        <f>CONCATENATE(V507,"_",W507)</f>
        <v>016_Sedes mantenidas</v>
      </c>
      <c r="Y507" s="249" t="str">
        <f>CONCATENATE(U507," ",X507)</f>
        <v>08-Infraestructura física, mantenimiento y dotación (Sedes construidas, mantenidas reforzadas) 016_Sedes mantenidas</v>
      </c>
      <c r="Z507" s="248" t="str">
        <f>CONCATENATE(P507,Q507,R507,S507,V507)</f>
        <v>O23011745992024020708016</v>
      </c>
      <c r="AA507" s="248" t="str">
        <f>IFERROR(VLOOKUP(Y507,TD!$K$47:$L$65,2,0)," ")</f>
        <v>PM/0131/0108/45990160207</v>
      </c>
      <c r="AB507" s="53" t="s">
        <v>138</v>
      </c>
      <c r="AC507" s="250" t="s">
        <v>204</v>
      </c>
    </row>
    <row r="508" spans="2:29" s="28" customFormat="1" ht="28" x14ac:dyDescent="0.35">
      <c r="B508" s="77">
        <v>20250554</v>
      </c>
      <c r="C508" s="50" t="s">
        <v>208</v>
      </c>
      <c r="D508" s="246" t="s">
        <v>166</v>
      </c>
      <c r="E508" s="51" t="s">
        <v>558</v>
      </c>
      <c r="F508" s="246" t="s">
        <v>587</v>
      </c>
      <c r="G508" s="246" t="s">
        <v>156</v>
      </c>
      <c r="H508" s="93" t="s">
        <v>606</v>
      </c>
      <c r="I508" s="247">
        <v>2</v>
      </c>
      <c r="J508" s="247">
        <v>11</v>
      </c>
      <c r="K508" s="52">
        <v>0</v>
      </c>
      <c r="L508" s="53">
        <v>22521112</v>
      </c>
      <c r="M508" s="246" t="s">
        <v>464</v>
      </c>
      <c r="N508" s="53" t="s">
        <v>607</v>
      </c>
      <c r="O508" s="51" t="s">
        <v>219</v>
      </c>
      <c r="P508" s="248" t="str">
        <f>IFERROR(VLOOKUP(C508,TD!$B$33:$F$37,2,0)," ")</f>
        <v>O230117</v>
      </c>
      <c r="Q508" s="248" t="str">
        <f>IFERROR(VLOOKUP(C508,TD!$B$33:$F$37,3,0)," ")</f>
        <v>4599</v>
      </c>
      <c r="R508" s="248">
        <f>IFERROR(VLOOKUP(C508,TD!$B$33:$F$37,4,0)," ")</f>
        <v>20240207</v>
      </c>
      <c r="S508" s="51" t="s">
        <v>185</v>
      </c>
      <c r="T508" s="248" t="str">
        <f>IFERROR(VLOOKUP(S508,TD!$J$34:$K$44,2,0)," ")</f>
        <v>Infraestructura física, mantenimiento y dotación (Sedes construidas, mantenidas reforzadas)</v>
      </c>
      <c r="U508" s="249" t="str">
        <f>CONCATENATE(S508,"-",T508)</f>
        <v>08-Infraestructura física, mantenimiento y dotación (Sedes construidas, mantenidas reforzadas)</v>
      </c>
      <c r="V508" s="51" t="s">
        <v>238</v>
      </c>
      <c r="W508" s="248" t="str">
        <f>IFERROR(VLOOKUP(V508,TD!$N$34:$O$46,2,0)," ")</f>
        <v>Sedes mantenidas</v>
      </c>
      <c r="X508" s="249" t="str">
        <f>CONCATENATE(V508,"_",W508)</f>
        <v>016_Sedes mantenidas</v>
      </c>
      <c r="Y508" s="249" t="str">
        <f>CONCATENATE(U508," ",X508)</f>
        <v>08-Infraestructura física, mantenimiento y dotación (Sedes construidas, mantenidas reforzadas) 016_Sedes mantenidas</v>
      </c>
      <c r="Z508" s="248" t="str">
        <f>CONCATENATE(P508,Q508,R508,S508,V508)</f>
        <v>O23011745992024020708016</v>
      </c>
      <c r="AA508" s="248" t="str">
        <f>IFERROR(VLOOKUP(Y508,TD!$K$47:$L$65,2,0)," ")</f>
        <v>PM/0131/0108/45990160207</v>
      </c>
      <c r="AB508" s="53" t="s">
        <v>138</v>
      </c>
      <c r="AC508" s="250" t="s">
        <v>204</v>
      </c>
    </row>
    <row r="509" spans="2:29" s="28" customFormat="1" ht="42" x14ac:dyDescent="0.35">
      <c r="B509" s="77">
        <v>20250555</v>
      </c>
      <c r="C509" s="50" t="s">
        <v>208</v>
      </c>
      <c r="D509" s="246" t="s">
        <v>166</v>
      </c>
      <c r="E509" s="51" t="s">
        <v>558</v>
      </c>
      <c r="F509" s="246" t="s">
        <v>587</v>
      </c>
      <c r="G509" s="246" t="s">
        <v>156</v>
      </c>
      <c r="H509" s="93" t="s">
        <v>606</v>
      </c>
      <c r="I509" s="247">
        <v>2</v>
      </c>
      <c r="J509" s="247">
        <v>11</v>
      </c>
      <c r="K509" s="52">
        <v>0</v>
      </c>
      <c r="L509" s="53">
        <v>30564360</v>
      </c>
      <c r="M509" s="246" t="s">
        <v>464</v>
      </c>
      <c r="N509" s="53" t="s">
        <v>607</v>
      </c>
      <c r="O509" s="51" t="s">
        <v>219</v>
      </c>
      <c r="P509" s="248" t="str">
        <f>IFERROR(VLOOKUP(C509,TD!$B$33:$F$37,2,0)," ")</f>
        <v>O230117</v>
      </c>
      <c r="Q509" s="248" t="str">
        <f>IFERROR(VLOOKUP(C509,TD!$B$33:$F$37,3,0)," ")</f>
        <v>4599</v>
      </c>
      <c r="R509" s="248">
        <f>IFERROR(VLOOKUP(C509,TD!$B$33:$F$37,4,0)," ")</f>
        <v>20240207</v>
      </c>
      <c r="S509" s="51" t="s">
        <v>185</v>
      </c>
      <c r="T509" s="248" t="str">
        <f>IFERROR(VLOOKUP(S509,TD!$J$34:$K$44,2,0)," ")</f>
        <v>Infraestructura física, mantenimiento y dotación (Sedes construidas, mantenidas reforzadas)</v>
      </c>
      <c r="U509" s="249" t="str">
        <f>CONCATENATE(S509,"-",T509)</f>
        <v>08-Infraestructura física, mantenimiento y dotación (Sedes construidas, mantenidas reforzadas)</v>
      </c>
      <c r="V509" s="51" t="s">
        <v>238</v>
      </c>
      <c r="W509" s="248" t="str">
        <f>IFERROR(VLOOKUP(V509,TD!$N$34:$O$46,2,0)," ")</f>
        <v>Sedes mantenidas</v>
      </c>
      <c r="X509" s="249" t="str">
        <f>CONCATENATE(V509,"_",W509)</f>
        <v>016_Sedes mantenidas</v>
      </c>
      <c r="Y509" s="249" t="str">
        <f>CONCATENATE(U509," ",X509)</f>
        <v>08-Infraestructura física, mantenimiento y dotación (Sedes construidas, mantenidas reforzadas) 016_Sedes mantenidas</v>
      </c>
      <c r="Z509" s="248" t="str">
        <f>CONCATENATE(P509,Q509,R509,S509,V509)</f>
        <v>O23011745992024020708016</v>
      </c>
      <c r="AA509" s="248" t="str">
        <f>IFERROR(VLOOKUP(Y509,TD!$K$47:$L$65,2,0)," ")</f>
        <v>PM/0131/0108/45990160207</v>
      </c>
      <c r="AB509" s="53" t="s">
        <v>138</v>
      </c>
      <c r="AC509" s="250" t="s">
        <v>204</v>
      </c>
    </row>
    <row r="510" spans="2:29" s="28" customFormat="1" ht="42" x14ac:dyDescent="0.35">
      <c r="B510" s="77">
        <v>20250556</v>
      </c>
      <c r="C510" s="50" t="s">
        <v>208</v>
      </c>
      <c r="D510" s="246" t="s">
        <v>166</v>
      </c>
      <c r="E510" s="51" t="s">
        <v>558</v>
      </c>
      <c r="F510" s="246" t="s">
        <v>660</v>
      </c>
      <c r="G510" s="246" t="s">
        <v>156</v>
      </c>
      <c r="H510" s="93" t="s">
        <v>606</v>
      </c>
      <c r="I510" s="247">
        <v>2</v>
      </c>
      <c r="J510" s="247">
        <v>11</v>
      </c>
      <c r="K510" s="52">
        <v>0</v>
      </c>
      <c r="L510" s="53">
        <v>25336251</v>
      </c>
      <c r="M510" s="246" t="s">
        <v>464</v>
      </c>
      <c r="N510" s="53" t="s">
        <v>607</v>
      </c>
      <c r="O510" s="51" t="s">
        <v>219</v>
      </c>
      <c r="P510" s="248" t="str">
        <f>IFERROR(VLOOKUP(C510,TD!$B$33:$F$37,2,0)," ")</f>
        <v>O230117</v>
      </c>
      <c r="Q510" s="248" t="str">
        <f>IFERROR(VLOOKUP(C510,TD!$B$33:$F$37,3,0)," ")</f>
        <v>4599</v>
      </c>
      <c r="R510" s="248">
        <f>IFERROR(VLOOKUP(C510,TD!$B$33:$F$37,4,0)," ")</f>
        <v>20240207</v>
      </c>
      <c r="S510" s="51" t="s">
        <v>185</v>
      </c>
      <c r="T510" s="248" t="str">
        <f>IFERROR(VLOOKUP(S510,TD!$J$34:$K$44,2,0)," ")</f>
        <v>Infraestructura física, mantenimiento y dotación (Sedes construidas, mantenidas reforzadas)</v>
      </c>
      <c r="U510" s="249" t="str">
        <f>CONCATENATE(S510,"-",T510)</f>
        <v>08-Infraestructura física, mantenimiento y dotación (Sedes construidas, mantenidas reforzadas)</v>
      </c>
      <c r="V510" s="51" t="s">
        <v>238</v>
      </c>
      <c r="W510" s="248" t="str">
        <f>IFERROR(VLOOKUP(V510,TD!$N$34:$O$46,2,0)," ")</f>
        <v>Sedes mantenidas</v>
      </c>
      <c r="X510" s="249" t="str">
        <f>CONCATENATE(V510,"_",W510)</f>
        <v>016_Sedes mantenidas</v>
      </c>
      <c r="Y510" s="249" t="str">
        <f>CONCATENATE(U510," ",X510)</f>
        <v>08-Infraestructura física, mantenimiento y dotación (Sedes construidas, mantenidas reforzadas) 016_Sedes mantenidas</v>
      </c>
      <c r="Z510" s="248" t="str">
        <f>CONCATENATE(P510,Q510,R510,S510,V510)</f>
        <v>O23011745992024020708016</v>
      </c>
      <c r="AA510" s="248" t="str">
        <f>IFERROR(VLOOKUP(Y510,TD!$K$47:$L$65,2,0)," ")</f>
        <v>PM/0131/0108/45990160207</v>
      </c>
      <c r="AB510" s="53" t="s">
        <v>138</v>
      </c>
      <c r="AC510" s="250" t="s">
        <v>204</v>
      </c>
    </row>
    <row r="511" spans="2:29" s="28" customFormat="1" ht="56" x14ac:dyDescent="0.35">
      <c r="B511" s="77">
        <v>20250557</v>
      </c>
      <c r="C511" s="50" t="s">
        <v>208</v>
      </c>
      <c r="D511" s="246" t="s">
        <v>166</v>
      </c>
      <c r="E511" s="51" t="s">
        <v>558</v>
      </c>
      <c r="F511" s="246" t="s">
        <v>661</v>
      </c>
      <c r="G511" s="246" t="s">
        <v>156</v>
      </c>
      <c r="H511" s="93" t="s">
        <v>606</v>
      </c>
      <c r="I511" s="247">
        <v>2</v>
      </c>
      <c r="J511" s="247">
        <v>11</v>
      </c>
      <c r="K511" s="52">
        <v>0</v>
      </c>
      <c r="L511" s="53">
        <v>38607615</v>
      </c>
      <c r="M511" s="246" t="s">
        <v>464</v>
      </c>
      <c r="N511" s="53" t="s">
        <v>607</v>
      </c>
      <c r="O511" s="51" t="s">
        <v>219</v>
      </c>
      <c r="P511" s="248" t="str">
        <f>IFERROR(VLOOKUP(C511,TD!$B$33:$F$37,2,0)," ")</f>
        <v>O230117</v>
      </c>
      <c r="Q511" s="248" t="str">
        <f>IFERROR(VLOOKUP(C511,TD!$B$33:$F$37,3,0)," ")</f>
        <v>4599</v>
      </c>
      <c r="R511" s="248">
        <f>IFERROR(VLOOKUP(C511,TD!$B$33:$F$37,4,0)," ")</f>
        <v>20240207</v>
      </c>
      <c r="S511" s="51" t="s">
        <v>185</v>
      </c>
      <c r="T511" s="248" t="str">
        <f>IFERROR(VLOOKUP(S511,TD!$J$34:$K$44,2,0)," ")</f>
        <v>Infraestructura física, mantenimiento y dotación (Sedes construidas, mantenidas reforzadas)</v>
      </c>
      <c r="U511" s="249" t="str">
        <f>CONCATENATE(S511,"-",T511)</f>
        <v>08-Infraestructura física, mantenimiento y dotación (Sedes construidas, mantenidas reforzadas)</v>
      </c>
      <c r="V511" s="51" t="s">
        <v>238</v>
      </c>
      <c r="W511" s="248" t="str">
        <f>IFERROR(VLOOKUP(V511,TD!$N$34:$O$46,2,0)," ")</f>
        <v>Sedes mantenidas</v>
      </c>
      <c r="X511" s="249" t="str">
        <f>CONCATENATE(V511,"_",W511)</f>
        <v>016_Sedes mantenidas</v>
      </c>
      <c r="Y511" s="249" t="str">
        <f>CONCATENATE(U511," ",X511)</f>
        <v>08-Infraestructura física, mantenimiento y dotación (Sedes construidas, mantenidas reforzadas) 016_Sedes mantenidas</v>
      </c>
      <c r="Z511" s="248" t="str">
        <f>CONCATENATE(P511,Q511,R511,S511,V511)</f>
        <v>O23011745992024020708016</v>
      </c>
      <c r="AA511" s="248" t="str">
        <f>IFERROR(VLOOKUP(Y511,TD!$K$47:$L$65,2,0)," ")</f>
        <v>PM/0131/0108/45990160207</v>
      </c>
      <c r="AB511" s="53" t="s">
        <v>138</v>
      </c>
      <c r="AC511" s="250" t="s">
        <v>204</v>
      </c>
    </row>
    <row r="512" spans="2:29" s="28" customFormat="1" ht="70" x14ac:dyDescent="0.35">
      <c r="B512" s="127">
        <v>20250558</v>
      </c>
      <c r="C512" s="50" t="s">
        <v>346</v>
      </c>
      <c r="D512" s="246" t="s">
        <v>166</v>
      </c>
      <c r="E512" s="51" t="s">
        <v>558</v>
      </c>
      <c r="F512" s="246" t="s">
        <v>645</v>
      </c>
      <c r="G512" s="246" t="s">
        <v>96</v>
      </c>
      <c r="H512" s="93" t="s">
        <v>627</v>
      </c>
      <c r="I512" s="247">
        <v>2</v>
      </c>
      <c r="J512" s="247">
        <v>4</v>
      </c>
      <c r="K512" s="52">
        <v>0</v>
      </c>
      <c r="L512" s="53">
        <f>240000000+200000000</f>
        <v>440000000</v>
      </c>
      <c r="M512" s="246" t="s">
        <v>172</v>
      </c>
      <c r="N512" s="53" t="s">
        <v>85</v>
      </c>
      <c r="O512" s="51" t="s">
        <v>347</v>
      </c>
      <c r="P512" s="248" t="str">
        <f>IFERROR(VLOOKUP(C512,TD!$B$33:$F$37,2,0)," ")</f>
        <v>NA</v>
      </c>
      <c r="Q512" s="248" t="str">
        <f>IFERROR(VLOOKUP(C512,TD!$B$33:$F$37,3,0)," ")</f>
        <v>NA</v>
      </c>
      <c r="R512" s="248" t="str">
        <f>IFERROR(VLOOKUP(C512,TD!$B$33:$F$37,4,0)," ")</f>
        <v>NA</v>
      </c>
      <c r="S512" s="51" t="s">
        <v>406</v>
      </c>
      <c r="T512" s="248" t="str">
        <f>IFERROR(VLOOKUP(S512,TD!$J$34:$K$44,2,0)," ")</f>
        <v>N/A</v>
      </c>
      <c r="U512" s="249" t="str">
        <f>CONCATENATE(S512,"-",T512)</f>
        <v>N/A-N/A</v>
      </c>
      <c r="V512" s="51" t="s">
        <v>406</v>
      </c>
      <c r="W512" s="248" t="str">
        <f>IFERROR(VLOOKUP(V512,TD!$N$34:$O$46,2,0)," ")</f>
        <v>N/A</v>
      </c>
      <c r="X512" s="249" t="str">
        <f>CONCATENATE(V512,"_",W512)</f>
        <v>N/A_N/A</v>
      </c>
      <c r="Y512" s="249" t="str">
        <f>CONCATENATE(U512," ",X512)</f>
        <v>N/A-N/A N/A_N/A</v>
      </c>
      <c r="Z512" s="248" t="str">
        <f>CONCATENATE(P512,Q512,R512,S512,V512)</f>
        <v>NANANAN/AN/A</v>
      </c>
      <c r="AA512" s="248" t="str">
        <f>IFERROR(VLOOKUP(Y512,TD!$K$47:$L$65,2,0)," ")</f>
        <v>N/A</v>
      </c>
      <c r="AB512" s="53" t="s">
        <v>663</v>
      </c>
      <c r="AC512" s="250" t="s">
        <v>205</v>
      </c>
    </row>
    <row r="513" spans="2:29" s="28" customFormat="1" ht="56" x14ac:dyDescent="0.35">
      <c r="B513" s="127">
        <v>20250559</v>
      </c>
      <c r="C513" s="129" t="s">
        <v>346</v>
      </c>
      <c r="D513" s="251" t="s">
        <v>162</v>
      </c>
      <c r="E513" s="252" t="s">
        <v>355</v>
      </c>
      <c r="F513" s="251" t="s">
        <v>923</v>
      </c>
      <c r="G513" s="251" t="s">
        <v>157</v>
      </c>
      <c r="H513" s="130" t="s">
        <v>667</v>
      </c>
      <c r="I513" s="253">
        <v>8</v>
      </c>
      <c r="J513" s="253">
        <v>6</v>
      </c>
      <c r="K513" s="126">
        <v>0</v>
      </c>
      <c r="L513" s="125">
        <v>70000000</v>
      </c>
      <c r="M513" s="251" t="s">
        <v>172</v>
      </c>
      <c r="N513" s="125" t="s">
        <v>95</v>
      </c>
      <c r="O513" s="252" t="s">
        <v>347</v>
      </c>
      <c r="P513" s="254" t="str">
        <f>IFERROR(VLOOKUP(C513,TD!$B$33:$F$37,2,0)," ")</f>
        <v>NA</v>
      </c>
      <c r="Q513" s="254" t="str">
        <f>IFERROR(VLOOKUP(C513,TD!$B$33:$F$37,3,0)," ")</f>
        <v>NA</v>
      </c>
      <c r="R513" s="254" t="str">
        <f>IFERROR(VLOOKUP(C513,TD!$B$33:$F$37,4,0)," ")</f>
        <v>NA</v>
      </c>
      <c r="S513" s="252" t="s">
        <v>406</v>
      </c>
      <c r="T513" s="254" t="str">
        <f>IFERROR(VLOOKUP(S513,TD!$J$34:$K$44,2,0)," ")</f>
        <v>N/A</v>
      </c>
      <c r="U513" s="249" t="str">
        <f>CONCATENATE(S513,"-",T513)</f>
        <v>N/A-N/A</v>
      </c>
      <c r="V513" s="252" t="s">
        <v>406</v>
      </c>
      <c r="W513" s="254" t="str">
        <f>IFERROR(VLOOKUP(V513,TD!$N$34:$O$46,2,0)," ")</f>
        <v>N/A</v>
      </c>
      <c r="X513" s="249" t="str">
        <f>CONCATENATE(V513,"_",W513)</f>
        <v>N/A_N/A</v>
      </c>
      <c r="Y513" s="249" t="str">
        <f>CONCATENATE(U513," ",X513)</f>
        <v>N/A-N/A N/A_N/A</v>
      </c>
      <c r="Z513" s="254" t="str">
        <f>CONCATENATE(P513,Q513,R513,S513,V513)</f>
        <v>NANANAN/AN/A</v>
      </c>
      <c r="AA513" s="254" t="str">
        <f>IFERROR(VLOOKUP(Y513,TD!$K$47:$L$65,2,0)," ")</f>
        <v>N/A</v>
      </c>
      <c r="AB513" s="125" t="s">
        <v>442</v>
      </c>
      <c r="AC513" s="255" t="s">
        <v>204</v>
      </c>
    </row>
    <row r="514" spans="2:29" s="28" customFormat="1" ht="56" x14ac:dyDescent="0.35">
      <c r="B514" s="127">
        <v>20250560</v>
      </c>
      <c r="C514" s="129" t="s">
        <v>346</v>
      </c>
      <c r="D514" s="251" t="s">
        <v>162</v>
      </c>
      <c r="E514" s="252" t="s">
        <v>355</v>
      </c>
      <c r="F514" s="251" t="s">
        <v>664</v>
      </c>
      <c r="G514" s="251" t="s">
        <v>154</v>
      </c>
      <c r="H514" s="130">
        <v>81112100</v>
      </c>
      <c r="I514" s="253">
        <v>3</v>
      </c>
      <c r="J514" s="253">
        <v>12</v>
      </c>
      <c r="K514" s="126">
        <v>0</v>
      </c>
      <c r="L514" s="125">
        <v>514061636</v>
      </c>
      <c r="M514" s="251" t="s">
        <v>172</v>
      </c>
      <c r="N514" s="125" t="s">
        <v>113</v>
      </c>
      <c r="O514" s="252" t="s">
        <v>347</v>
      </c>
      <c r="P514" s="254" t="str">
        <f>IFERROR(VLOOKUP(C514,TD!$B$33:$F$37,2,0)," ")</f>
        <v>NA</v>
      </c>
      <c r="Q514" s="254" t="str">
        <f>IFERROR(VLOOKUP(C514,TD!$B$33:$F$37,3,0)," ")</f>
        <v>NA</v>
      </c>
      <c r="R514" s="254" t="str">
        <f>IFERROR(VLOOKUP(C514,TD!$B$33:$F$37,4,0)," ")</f>
        <v>NA</v>
      </c>
      <c r="S514" s="252" t="s">
        <v>406</v>
      </c>
      <c r="T514" s="254" t="str">
        <f>IFERROR(VLOOKUP(S514,TD!$J$34:$K$44,2,0)," ")</f>
        <v>N/A</v>
      </c>
      <c r="U514" s="249" t="str">
        <f>CONCATENATE(S514,"-",T514)</f>
        <v>N/A-N/A</v>
      </c>
      <c r="V514" s="252" t="s">
        <v>406</v>
      </c>
      <c r="W514" s="254" t="str">
        <f>IFERROR(VLOOKUP(V514,TD!$N$34:$O$46,2,0)," ")</f>
        <v>N/A</v>
      </c>
      <c r="X514" s="249" t="str">
        <f>CONCATENATE(V514,"_",W514)</f>
        <v>N/A_N/A</v>
      </c>
      <c r="Y514" s="249" t="str">
        <f>CONCATENATE(U514," ",X514)</f>
        <v>N/A-N/A N/A_N/A</v>
      </c>
      <c r="Z514" s="254" t="str">
        <f>CONCATENATE(P514,Q514,R514,S514,V514)</f>
        <v>NANANAN/AN/A</v>
      </c>
      <c r="AA514" s="254" t="str">
        <f>IFERROR(VLOOKUP(Y514,TD!$K$47:$L$65,2,0)," ")</f>
        <v>N/A</v>
      </c>
      <c r="AB514" s="125" t="s">
        <v>443</v>
      </c>
      <c r="AC514" s="255" t="s">
        <v>204</v>
      </c>
    </row>
    <row r="515" spans="2:29" s="28" customFormat="1" ht="56" x14ac:dyDescent="0.35">
      <c r="B515" s="127">
        <v>20250561</v>
      </c>
      <c r="C515" s="129" t="s">
        <v>346</v>
      </c>
      <c r="D515" s="251" t="s">
        <v>162</v>
      </c>
      <c r="E515" s="252" t="s">
        <v>355</v>
      </c>
      <c r="F515" s="251" t="s">
        <v>665</v>
      </c>
      <c r="G515" s="251" t="s">
        <v>149</v>
      </c>
      <c r="H515" s="130" t="s">
        <v>668</v>
      </c>
      <c r="I515" s="253">
        <v>11</v>
      </c>
      <c r="J515" s="253">
        <v>12</v>
      </c>
      <c r="K515" s="126">
        <v>0</v>
      </c>
      <c r="L515" s="125">
        <v>43000000</v>
      </c>
      <c r="M515" s="251" t="s">
        <v>172</v>
      </c>
      <c r="N515" s="125" t="s">
        <v>123</v>
      </c>
      <c r="O515" s="252" t="s">
        <v>347</v>
      </c>
      <c r="P515" s="254" t="str">
        <f>IFERROR(VLOOKUP(C515,TD!$B$33:$F$37,2,0)," ")</f>
        <v>NA</v>
      </c>
      <c r="Q515" s="254" t="str">
        <f>IFERROR(VLOOKUP(C515,TD!$B$33:$F$37,3,0)," ")</f>
        <v>NA</v>
      </c>
      <c r="R515" s="254" t="str">
        <f>IFERROR(VLOOKUP(C515,TD!$B$33:$F$37,4,0)," ")</f>
        <v>NA</v>
      </c>
      <c r="S515" s="252" t="s">
        <v>406</v>
      </c>
      <c r="T515" s="254" t="str">
        <f>IFERROR(VLOOKUP(S515,TD!$J$34:$K$44,2,0)," ")</f>
        <v>N/A</v>
      </c>
      <c r="U515" s="249" t="str">
        <f>CONCATENATE(S515,"-",T515)</f>
        <v>N/A-N/A</v>
      </c>
      <c r="V515" s="252" t="s">
        <v>406</v>
      </c>
      <c r="W515" s="254" t="str">
        <f>IFERROR(VLOOKUP(V515,TD!$N$34:$O$46,2,0)," ")</f>
        <v>N/A</v>
      </c>
      <c r="X515" s="249" t="str">
        <f>CONCATENATE(V515,"_",W515)</f>
        <v>N/A_N/A</v>
      </c>
      <c r="Y515" s="249" t="str">
        <f>CONCATENATE(U515," ",X515)</f>
        <v>N/A-N/A N/A_N/A</v>
      </c>
      <c r="Z515" s="254" t="str">
        <f>CONCATENATE(P515,Q515,R515,S515,V515)</f>
        <v>NANANAN/AN/A</v>
      </c>
      <c r="AA515" s="254" t="str">
        <f>IFERROR(VLOOKUP(Y515,TD!$K$47:$L$65,2,0)," ")</f>
        <v>N/A</v>
      </c>
      <c r="AB515" s="125" t="s">
        <v>444</v>
      </c>
      <c r="AC515" s="255" t="s">
        <v>204</v>
      </c>
    </row>
    <row r="516" spans="2:29" s="28" customFormat="1" ht="56" x14ac:dyDescent="0.35">
      <c r="B516" s="77">
        <v>20250562</v>
      </c>
      <c r="C516" s="50" t="s">
        <v>346</v>
      </c>
      <c r="D516" s="246" t="s">
        <v>162</v>
      </c>
      <c r="E516" s="51" t="s">
        <v>355</v>
      </c>
      <c r="F516" s="246" t="s">
        <v>666</v>
      </c>
      <c r="G516" s="246" t="s">
        <v>158</v>
      </c>
      <c r="H516" s="93" t="s">
        <v>669</v>
      </c>
      <c r="I516" s="247">
        <v>11</v>
      </c>
      <c r="J516" s="247">
        <v>12</v>
      </c>
      <c r="K516" s="52">
        <v>0</v>
      </c>
      <c r="L516" s="53">
        <v>13000000</v>
      </c>
      <c r="M516" s="246" t="s">
        <v>172</v>
      </c>
      <c r="N516" s="53" t="s">
        <v>100</v>
      </c>
      <c r="O516" s="51" t="s">
        <v>347</v>
      </c>
      <c r="P516" s="248" t="str">
        <f>IFERROR(VLOOKUP(C516,TD!$B$33:$F$37,2,0)," ")</f>
        <v>NA</v>
      </c>
      <c r="Q516" s="248" t="str">
        <f>IFERROR(VLOOKUP(C516,TD!$B$33:$F$37,3,0)," ")</f>
        <v>NA</v>
      </c>
      <c r="R516" s="248" t="str">
        <f>IFERROR(VLOOKUP(C516,TD!$B$33:$F$37,4,0)," ")</f>
        <v>NA</v>
      </c>
      <c r="S516" s="51" t="s">
        <v>406</v>
      </c>
      <c r="T516" s="248" t="str">
        <f>IFERROR(VLOOKUP(S516,TD!$J$34:$K$44,2,0)," ")</f>
        <v>N/A</v>
      </c>
      <c r="U516" s="249" t="str">
        <f>CONCATENATE(S516,"-",T516)</f>
        <v>N/A-N/A</v>
      </c>
      <c r="V516" s="51" t="s">
        <v>406</v>
      </c>
      <c r="W516" s="248" t="str">
        <f>IFERROR(VLOOKUP(V516,TD!$N$34:$O$46,2,0)," ")</f>
        <v>N/A</v>
      </c>
      <c r="X516" s="249" t="str">
        <f>CONCATENATE(V516,"_",W516)</f>
        <v>N/A_N/A</v>
      </c>
      <c r="Y516" s="249" t="str">
        <f>CONCATENATE(U516," ",X516)</f>
        <v>N/A-N/A N/A_N/A</v>
      </c>
      <c r="Z516" s="248" t="str">
        <f>CONCATENATE(P516,Q516,R516,S516,V516)</f>
        <v>NANANAN/AN/A</v>
      </c>
      <c r="AA516" s="248" t="str">
        <f>IFERROR(VLOOKUP(Y516,TD!$K$47:$L$65,2,0)," ")</f>
        <v>N/A</v>
      </c>
      <c r="AB516" s="53" t="s">
        <v>444</v>
      </c>
      <c r="AC516" s="250" t="s">
        <v>204</v>
      </c>
    </row>
    <row r="517" spans="2:29" s="28" customFormat="1" ht="98" x14ac:dyDescent="0.35">
      <c r="B517" s="77">
        <v>20250563</v>
      </c>
      <c r="C517" s="50" t="s">
        <v>208</v>
      </c>
      <c r="D517" s="246" t="s">
        <v>45</v>
      </c>
      <c r="E517" s="51" t="s">
        <v>355</v>
      </c>
      <c r="F517" s="246" t="s">
        <v>670</v>
      </c>
      <c r="G517" s="246" t="s">
        <v>155</v>
      </c>
      <c r="H517" s="93">
        <v>80111600</v>
      </c>
      <c r="I517" s="247">
        <v>2</v>
      </c>
      <c r="J517" s="247">
        <v>8</v>
      </c>
      <c r="K517" s="52">
        <v>0</v>
      </c>
      <c r="L517" s="53">
        <v>64000000</v>
      </c>
      <c r="M517" s="246" t="s">
        <v>464</v>
      </c>
      <c r="N517" s="53" t="s">
        <v>113</v>
      </c>
      <c r="O517" s="51" t="s">
        <v>219</v>
      </c>
      <c r="P517" s="248" t="str">
        <f>IFERROR(VLOOKUP(C517,TD!$B$33:$F$37,2,0)," ")</f>
        <v>O230117</v>
      </c>
      <c r="Q517" s="248" t="str">
        <f>IFERROR(VLOOKUP(C517,TD!$B$33:$F$37,3,0)," ")</f>
        <v>4599</v>
      </c>
      <c r="R517" s="248">
        <f>IFERROR(VLOOKUP(C517,TD!$B$33:$F$37,4,0)," ")</f>
        <v>20240207</v>
      </c>
      <c r="S517" s="51" t="s">
        <v>185</v>
      </c>
      <c r="T517" s="248" t="str">
        <f>IFERROR(VLOOKUP(S517,TD!$J$34:$K$44,2,0)," ")</f>
        <v>Infraestructura física, mantenimiento y dotación (Sedes construidas, mantenidas reforzadas)</v>
      </c>
      <c r="U517" s="249" t="str">
        <f>CONCATENATE(S517,"-",T517)</f>
        <v>08-Infraestructura física, mantenimiento y dotación (Sedes construidas, mantenidas reforzadas)</v>
      </c>
      <c r="V517" s="51" t="s">
        <v>238</v>
      </c>
      <c r="W517" s="248" t="str">
        <f>IFERROR(VLOOKUP(V517,TD!$N$34:$O$46,2,0)," ")</f>
        <v>Sedes mantenidas</v>
      </c>
      <c r="X517" s="249" t="str">
        <f>CONCATENATE(V517,"_",W517)</f>
        <v>016_Sedes mantenidas</v>
      </c>
      <c r="Y517" s="249" t="str">
        <f>CONCATENATE(U517," ",X517)</f>
        <v>08-Infraestructura física, mantenimiento y dotación (Sedes construidas, mantenidas reforzadas) 016_Sedes mantenidas</v>
      </c>
      <c r="Z517" s="248" t="str">
        <f>CONCATENATE(P517,Q517,R517,S517,V517)</f>
        <v>O23011745992024020708016</v>
      </c>
      <c r="AA517" s="248" t="str">
        <f>IFERROR(VLOOKUP(Y517,TD!$K$47:$L$65,2,0)," ")</f>
        <v>PM/0131/0108/45990160207</v>
      </c>
      <c r="AB517" s="53" t="s">
        <v>138</v>
      </c>
      <c r="AC517" s="250" t="s">
        <v>204</v>
      </c>
    </row>
    <row r="518" spans="2:29" s="28" customFormat="1" ht="56" x14ac:dyDescent="0.35">
      <c r="B518" s="77">
        <v>20250564</v>
      </c>
      <c r="C518" s="50" t="s">
        <v>208</v>
      </c>
      <c r="D518" s="246" t="s">
        <v>45</v>
      </c>
      <c r="E518" s="51" t="s">
        <v>355</v>
      </c>
      <c r="F518" s="246" t="s">
        <v>671</v>
      </c>
      <c r="G518" s="246" t="s">
        <v>155</v>
      </c>
      <c r="H518" s="93">
        <v>80111600</v>
      </c>
      <c r="I518" s="247">
        <v>2</v>
      </c>
      <c r="J518" s="247">
        <v>8</v>
      </c>
      <c r="K518" s="52">
        <v>0</v>
      </c>
      <c r="L518" s="53">
        <v>72000000</v>
      </c>
      <c r="M518" s="246" t="s">
        <v>464</v>
      </c>
      <c r="N518" s="53" t="s">
        <v>113</v>
      </c>
      <c r="O518" s="51" t="s">
        <v>219</v>
      </c>
      <c r="P518" s="248" t="str">
        <f>IFERROR(VLOOKUP(C518,TD!$B$33:$F$37,2,0)," ")</f>
        <v>O230117</v>
      </c>
      <c r="Q518" s="248" t="str">
        <f>IFERROR(VLOOKUP(C518,TD!$B$33:$F$37,3,0)," ")</f>
        <v>4599</v>
      </c>
      <c r="R518" s="248">
        <f>IFERROR(VLOOKUP(C518,TD!$B$33:$F$37,4,0)," ")</f>
        <v>20240207</v>
      </c>
      <c r="S518" s="51" t="s">
        <v>185</v>
      </c>
      <c r="T518" s="248" t="str">
        <f>IFERROR(VLOOKUP(S518,TD!$J$34:$K$44,2,0)," ")</f>
        <v>Infraestructura física, mantenimiento y dotación (Sedes construidas, mantenidas reforzadas)</v>
      </c>
      <c r="U518" s="249" t="str">
        <f>CONCATENATE(S518,"-",T518)</f>
        <v>08-Infraestructura física, mantenimiento y dotación (Sedes construidas, mantenidas reforzadas)</v>
      </c>
      <c r="V518" s="51" t="s">
        <v>238</v>
      </c>
      <c r="W518" s="248" t="str">
        <f>IFERROR(VLOOKUP(V518,TD!$N$34:$O$46,2,0)," ")</f>
        <v>Sedes mantenidas</v>
      </c>
      <c r="X518" s="249" t="str">
        <f>CONCATENATE(V518,"_",W518)</f>
        <v>016_Sedes mantenidas</v>
      </c>
      <c r="Y518" s="249" t="str">
        <f>CONCATENATE(U518," ",X518)</f>
        <v>08-Infraestructura física, mantenimiento y dotación (Sedes construidas, mantenidas reforzadas) 016_Sedes mantenidas</v>
      </c>
      <c r="Z518" s="248" t="str">
        <f>CONCATENATE(P518,Q518,R518,S518,V518)</f>
        <v>O23011745992024020708016</v>
      </c>
      <c r="AA518" s="248" t="str">
        <f>IFERROR(VLOOKUP(Y518,TD!$K$47:$L$65,2,0)," ")</f>
        <v>PM/0131/0108/45990160207</v>
      </c>
      <c r="AB518" s="53" t="s">
        <v>138</v>
      </c>
      <c r="AC518" s="250" t="s">
        <v>204</v>
      </c>
    </row>
    <row r="519" spans="2:29" s="28" customFormat="1" ht="56" x14ac:dyDescent="0.35">
      <c r="B519" s="77">
        <v>20250565</v>
      </c>
      <c r="C519" s="50" t="s">
        <v>208</v>
      </c>
      <c r="D519" s="246" t="s">
        <v>161</v>
      </c>
      <c r="E519" s="51" t="s">
        <v>355</v>
      </c>
      <c r="F519" s="246" t="s">
        <v>699</v>
      </c>
      <c r="G519" s="246" t="s">
        <v>156</v>
      </c>
      <c r="H519" s="93">
        <v>80111600</v>
      </c>
      <c r="I519" s="247">
        <v>2</v>
      </c>
      <c r="J519" s="247">
        <v>6</v>
      </c>
      <c r="K519" s="52">
        <v>0</v>
      </c>
      <c r="L519" s="53">
        <v>26400000</v>
      </c>
      <c r="M519" s="246" t="s">
        <v>464</v>
      </c>
      <c r="N519" s="53" t="s">
        <v>113</v>
      </c>
      <c r="O519" s="51" t="s">
        <v>220</v>
      </c>
      <c r="P519" s="248" t="str">
        <f>IFERROR(VLOOKUP(C519,TD!$B$33:$F$37,2,0)," ")</f>
        <v>O230117</v>
      </c>
      <c r="Q519" s="248" t="str">
        <f>IFERROR(VLOOKUP(C519,TD!$B$33:$F$37,3,0)," ")</f>
        <v>4599</v>
      </c>
      <c r="R519" s="248">
        <f>IFERROR(VLOOKUP(C519,TD!$B$33:$F$37,4,0)," ")</f>
        <v>20240207</v>
      </c>
      <c r="S519" s="51" t="s">
        <v>193</v>
      </c>
      <c r="T519" s="248" t="str">
        <f>IFERROR(VLOOKUP(S519,TD!$J$34:$K$44,2,0)," ")</f>
        <v>Servicios para la planeación y sistemas de gestión y comunicación estratégica</v>
      </c>
      <c r="U519" s="249" t="str">
        <f>CONCATENATE(S519,"-",T519)</f>
        <v>13-Servicios para la planeación y sistemas de gestión y comunicación estratégica</v>
      </c>
      <c r="V519" s="51" t="s">
        <v>242</v>
      </c>
      <c r="W519" s="248" t="str">
        <f>IFERROR(VLOOKUP(V519,TD!$N$34:$O$46,2,0)," ")</f>
        <v>Documentos de planeación</v>
      </c>
      <c r="X519" s="249" t="str">
        <f>CONCATENATE(V519,"_",W519)</f>
        <v>019_Documentos de planeación</v>
      </c>
      <c r="Y519" s="249" t="str">
        <f>CONCATENATE(U519," ",X519)</f>
        <v>13-Servicios para la planeación y sistemas de gestión y comunicación estratégica 019_Documentos de planeación</v>
      </c>
      <c r="Z519" s="248" t="str">
        <f>CONCATENATE(P519,Q519,R519,S519,V519)</f>
        <v>O23011745992024020713019</v>
      </c>
      <c r="AA519" s="248" t="str">
        <f>IFERROR(VLOOKUP(Y519,TD!$K$47:$L$65,2,0)," ")</f>
        <v>PM/0131/0113/45990190207</v>
      </c>
      <c r="AB519" s="53" t="s">
        <v>138</v>
      </c>
      <c r="AC519" s="250" t="s">
        <v>204</v>
      </c>
    </row>
    <row r="520" spans="2:29" s="28" customFormat="1" ht="56" x14ac:dyDescent="0.35">
      <c r="B520" s="77">
        <v>20250566</v>
      </c>
      <c r="C520" s="50" t="s">
        <v>208</v>
      </c>
      <c r="D520" s="246" t="s">
        <v>161</v>
      </c>
      <c r="E520" s="51" t="s">
        <v>355</v>
      </c>
      <c r="F520" s="246" t="s">
        <v>673</v>
      </c>
      <c r="G520" s="246" t="s">
        <v>155</v>
      </c>
      <c r="H520" s="93">
        <v>80111600</v>
      </c>
      <c r="I520" s="247">
        <v>11</v>
      </c>
      <c r="J520" s="247">
        <v>6</v>
      </c>
      <c r="K520" s="52">
        <v>0</v>
      </c>
      <c r="L520" s="53">
        <v>30000000</v>
      </c>
      <c r="M520" s="246" t="s">
        <v>464</v>
      </c>
      <c r="N520" s="53" t="s">
        <v>113</v>
      </c>
      <c r="O520" s="51" t="s">
        <v>220</v>
      </c>
      <c r="P520" s="248" t="s">
        <v>198</v>
      </c>
      <c r="Q520" s="248" t="s">
        <v>200</v>
      </c>
      <c r="R520" s="248">
        <v>20240207</v>
      </c>
      <c r="S520" s="51" t="s">
        <v>193</v>
      </c>
      <c r="T520" s="248" t="s">
        <v>194</v>
      </c>
      <c r="U520" s="249" t="s">
        <v>1107</v>
      </c>
      <c r="V520" s="51" t="s">
        <v>242</v>
      </c>
      <c r="W520" s="248" t="s">
        <v>255</v>
      </c>
      <c r="X520" s="249" t="s">
        <v>1108</v>
      </c>
      <c r="Y520" s="249" t="s">
        <v>292</v>
      </c>
      <c r="Z520" s="248" t="s">
        <v>322</v>
      </c>
      <c r="AA520" s="248" t="s">
        <v>273</v>
      </c>
      <c r="AB520" s="53" t="s">
        <v>138</v>
      </c>
      <c r="AC520" s="250" t="s">
        <v>204</v>
      </c>
    </row>
    <row r="521" spans="2:29" s="28" customFormat="1" ht="56" x14ac:dyDescent="0.35">
      <c r="B521" s="77">
        <v>20250567</v>
      </c>
      <c r="C521" s="50" t="s">
        <v>208</v>
      </c>
      <c r="D521" s="246" t="s">
        <v>45</v>
      </c>
      <c r="E521" s="51" t="s">
        <v>355</v>
      </c>
      <c r="F521" s="246" t="s">
        <v>672</v>
      </c>
      <c r="G521" s="246" t="s">
        <v>155</v>
      </c>
      <c r="H521" s="93">
        <v>80111600</v>
      </c>
      <c r="I521" s="247">
        <v>2</v>
      </c>
      <c r="J521" s="247">
        <v>8</v>
      </c>
      <c r="K521" s="52">
        <v>0</v>
      </c>
      <c r="L521" s="53">
        <v>45066667</v>
      </c>
      <c r="M521" s="246" t="s">
        <v>464</v>
      </c>
      <c r="N521" s="53" t="s">
        <v>113</v>
      </c>
      <c r="O521" s="51" t="s">
        <v>219</v>
      </c>
      <c r="P521" s="248" t="str">
        <f>IFERROR(VLOOKUP(C521,TD!$B$33:$F$37,2,0)," ")</f>
        <v>O230117</v>
      </c>
      <c r="Q521" s="248" t="str">
        <f>IFERROR(VLOOKUP(C521,TD!$B$33:$F$37,3,0)," ")</f>
        <v>4599</v>
      </c>
      <c r="R521" s="248">
        <f>IFERROR(VLOOKUP(C521,TD!$B$33:$F$37,4,0)," ")</f>
        <v>20240207</v>
      </c>
      <c r="S521" s="51" t="s">
        <v>185</v>
      </c>
      <c r="T521" s="248" t="str">
        <f>IFERROR(VLOOKUP(S521,TD!$J$34:$K$44,2,0)," ")</f>
        <v>Infraestructura física, mantenimiento y dotación (Sedes construidas, mantenidas reforzadas)</v>
      </c>
      <c r="U521" s="249" t="str">
        <f>CONCATENATE(S521,"-",T521)</f>
        <v>08-Infraestructura física, mantenimiento y dotación (Sedes construidas, mantenidas reforzadas)</v>
      </c>
      <c r="V521" s="51" t="s">
        <v>238</v>
      </c>
      <c r="W521" s="248" t="str">
        <f>IFERROR(VLOOKUP(V521,TD!$N$34:$O$46,2,0)," ")</f>
        <v>Sedes mantenidas</v>
      </c>
      <c r="X521" s="249" t="str">
        <f>CONCATENATE(V521,"_",W521)</f>
        <v>016_Sedes mantenidas</v>
      </c>
      <c r="Y521" s="249" t="str">
        <f>CONCATENATE(U521," ",X521)</f>
        <v>08-Infraestructura física, mantenimiento y dotación (Sedes construidas, mantenidas reforzadas) 016_Sedes mantenidas</v>
      </c>
      <c r="Z521" s="248" t="str">
        <f>CONCATENATE(P521,Q521,R521,S521,V521)</f>
        <v>O23011745992024020708016</v>
      </c>
      <c r="AA521" s="248" t="str">
        <f>IFERROR(VLOOKUP(Y521,TD!$K$47:$L$65,2,0)," ")</f>
        <v>PM/0131/0108/45990160207</v>
      </c>
      <c r="AB521" s="53" t="s">
        <v>138</v>
      </c>
      <c r="AC521" s="250" t="s">
        <v>204</v>
      </c>
    </row>
    <row r="522" spans="2:29" s="28" customFormat="1" ht="70" x14ac:dyDescent="0.35">
      <c r="B522" s="77">
        <v>20250569</v>
      </c>
      <c r="C522" s="50" t="s">
        <v>209</v>
      </c>
      <c r="D522" s="246" t="s">
        <v>165</v>
      </c>
      <c r="E522" s="51" t="s">
        <v>484</v>
      </c>
      <c r="F522" s="246" t="s">
        <v>680</v>
      </c>
      <c r="G522" s="246" t="s">
        <v>155</v>
      </c>
      <c r="H522" s="93">
        <v>80111600</v>
      </c>
      <c r="I522" s="247">
        <v>2</v>
      </c>
      <c r="J522" s="247">
        <v>8</v>
      </c>
      <c r="K522" s="52">
        <v>15</v>
      </c>
      <c r="L522" s="53">
        <f>51272000-3016000</f>
        <v>48256000</v>
      </c>
      <c r="M522" s="246" t="s">
        <v>464</v>
      </c>
      <c r="N522" s="53" t="s">
        <v>113</v>
      </c>
      <c r="O522" s="51" t="s">
        <v>229</v>
      </c>
      <c r="P522" s="248" t="str">
        <f>IFERROR(VLOOKUP(C522,TD!$B$33:$F$37,2,0)," ")</f>
        <v>O230117</v>
      </c>
      <c r="Q522" s="248" t="str">
        <f>IFERROR(VLOOKUP(C522,TD!$B$33:$F$37,3,0)," ")</f>
        <v>4503</v>
      </c>
      <c r="R522" s="248">
        <f>IFERROR(VLOOKUP(C522,TD!$B$33:$F$37,4,0)," ")</f>
        <v>20240255</v>
      </c>
      <c r="S522" s="51" t="s">
        <v>183</v>
      </c>
      <c r="T522" s="248" t="str">
        <f>IFERROR(VLOOKUP(S522,TD!$J$34:$K$44,2,0)," ")</f>
        <v>Servicio de formación en gestión del riesgo de incendios para el personal UAECOB</v>
      </c>
      <c r="U522" s="249" t="str">
        <f>CONCATENATE(S522,"-",T522)</f>
        <v>07-Servicio de formación en gestión del riesgo de incendios para el personal UAECOB</v>
      </c>
      <c r="V522" s="51" t="s">
        <v>233</v>
      </c>
      <c r="W522" s="248" t="str">
        <f>IFERROR(VLOOKUP(V522,TD!$N$34:$O$46,2,0)," ")</f>
        <v>Servicio de educación informal</v>
      </c>
      <c r="X522" s="249" t="str">
        <f>CONCATENATE(V522,"_",W522)</f>
        <v>002_Servicio de educación informal</v>
      </c>
      <c r="Y522" s="249" t="str">
        <f>CONCATENATE(U522," ",X522)</f>
        <v>07-Servicio de formación en gestión del riesgo de incendios para el personal UAECOB 002_Servicio de educación informal</v>
      </c>
      <c r="Z522" s="248" t="str">
        <f>CONCATENATE(P522,Q522,R522,S522,V522)</f>
        <v>O23011745032024025507002</v>
      </c>
      <c r="AA522" s="248" t="str">
        <f>IFERROR(VLOOKUP(Y522,TD!$K$47:$L$65,2,0)," ")</f>
        <v>PM/0131/0107/45030020255</v>
      </c>
      <c r="AB522" s="125" t="s">
        <v>138</v>
      </c>
      <c r="AC522" s="250" t="s">
        <v>204</v>
      </c>
    </row>
    <row r="523" spans="2:29" s="28" customFormat="1" ht="70" x14ac:dyDescent="0.35">
      <c r="B523" s="77">
        <v>20250570</v>
      </c>
      <c r="C523" s="50" t="s">
        <v>209</v>
      </c>
      <c r="D523" s="246" t="s">
        <v>165</v>
      </c>
      <c r="E523" s="51" t="s">
        <v>484</v>
      </c>
      <c r="F523" s="246" t="s">
        <v>965</v>
      </c>
      <c r="G523" s="246" t="s">
        <v>156</v>
      </c>
      <c r="H523" s="93">
        <v>80111600</v>
      </c>
      <c r="I523" s="247">
        <v>8</v>
      </c>
      <c r="J523" s="247">
        <v>3</v>
      </c>
      <c r="K523" s="52">
        <v>0</v>
      </c>
      <c r="L523" s="53">
        <v>18500000</v>
      </c>
      <c r="M523" s="246" t="s">
        <v>464</v>
      </c>
      <c r="N523" s="53" t="s">
        <v>113</v>
      </c>
      <c r="O523" s="51" t="s">
        <v>229</v>
      </c>
      <c r="P523" s="248" t="str">
        <f>IFERROR(VLOOKUP(C523,TD!$B$33:$F$37,2,0)," ")</f>
        <v>O230117</v>
      </c>
      <c r="Q523" s="248" t="str">
        <f>IFERROR(VLOOKUP(C523,TD!$B$33:$F$37,3,0)," ")</f>
        <v>4503</v>
      </c>
      <c r="R523" s="248">
        <f>IFERROR(VLOOKUP(C523,TD!$B$33:$F$37,4,0)," ")</f>
        <v>20240255</v>
      </c>
      <c r="S523" s="51" t="s">
        <v>183</v>
      </c>
      <c r="T523" s="248" t="str">
        <f>IFERROR(VLOOKUP(S523,TD!$J$34:$K$44,2,0)," ")</f>
        <v>Servicio de formación en gestión del riesgo de incendios para el personal UAECOB</v>
      </c>
      <c r="U523" s="249" t="str">
        <f>CONCATENATE(S523,"-",T523)</f>
        <v>07-Servicio de formación en gestión del riesgo de incendios para el personal UAECOB</v>
      </c>
      <c r="V523" s="51" t="s">
        <v>233</v>
      </c>
      <c r="W523" s="248" t="str">
        <f>IFERROR(VLOOKUP(V523,TD!$N$34:$O$46,2,0)," ")</f>
        <v>Servicio de educación informal</v>
      </c>
      <c r="X523" s="249" t="str">
        <f>CONCATENATE(V523,"_",W523)</f>
        <v>002_Servicio de educación informal</v>
      </c>
      <c r="Y523" s="249" t="str">
        <f>CONCATENATE(U523," ",X523)</f>
        <v>07-Servicio de formación en gestión del riesgo de incendios para el personal UAECOB 002_Servicio de educación informal</v>
      </c>
      <c r="Z523" s="248" t="str">
        <f>CONCATENATE(P523,Q523,R523,S523,V523)</f>
        <v>O23011745032024025507002</v>
      </c>
      <c r="AA523" s="248" t="str">
        <f>IFERROR(VLOOKUP(Y523,TD!$K$47:$L$65,2,0)," ")</f>
        <v>PM/0131/0107/45030020255</v>
      </c>
      <c r="AB523" s="125" t="s">
        <v>138</v>
      </c>
      <c r="AC523" s="250" t="s">
        <v>204</v>
      </c>
    </row>
    <row r="524" spans="2:29" s="28" customFormat="1" ht="70" x14ac:dyDescent="0.35">
      <c r="B524" s="77">
        <v>20250571</v>
      </c>
      <c r="C524" s="50" t="s">
        <v>209</v>
      </c>
      <c r="D524" s="246" t="s">
        <v>165</v>
      </c>
      <c r="E524" s="51" t="s">
        <v>484</v>
      </c>
      <c r="F524" s="246" t="s">
        <v>681</v>
      </c>
      <c r="G524" s="246" t="s">
        <v>155</v>
      </c>
      <c r="H524" s="93">
        <v>80111600</v>
      </c>
      <c r="I524" s="247">
        <v>2</v>
      </c>
      <c r="J524" s="247">
        <v>11</v>
      </c>
      <c r="K524" s="52">
        <v>0</v>
      </c>
      <c r="L524" s="53">
        <v>49500000</v>
      </c>
      <c r="M524" s="246" t="s">
        <v>464</v>
      </c>
      <c r="N524" s="53" t="s">
        <v>113</v>
      </c>
      <c r="O524" s="51" t="s">
        <v>229</v>
      </c>
      <c r="P524" s="248" t="str">
        <f>IFERROR(VLOOKUP(C524,TD!$B$33:$F$37,2,0)," ")</f>
        <v>O230117</v>
      </c>
      <c r="Q524" s="248" t="str">
        <f>IFERROR(VLOOKUP(C524,TD!$B$33:$F$37,3,0)," ")</f>
        <v>4503</v>
      </c>
      <c r="R524" s="248">
        <f>IFERROR(VLOOKUP(C524,TD!$B$33:$F$37,4,0)," ")</f>
        <v>20240255</v>
      </c>
      <c r="S524" s="51" t="s">
        <v>183</v>
      </c>
      <c r="T524" s="248" t="str">
        <f>IFERROR(VLOOKUP(S524,TD!$J$34:$K$44,2,0)," ")</f>
        <v>Servicio de formación en gestión del riesgo de incendios para el personal UAECOB</v>
      </c>
      <c r="U524" s="249" t="str">
        <f>CONCATENATE(S524,"-",T524)</f>
        <v>07-Servicio de formación en gestión del riesgo de incendios para el personal UAECOB</v>
      </c>
      <c r="V524" s="51" t="s">
        <v>233</v>
      </c>
      <c r="W524" s="248" t="str">
        <f>IFERROR(VLOOKUP(V524,TD!$N$34:$O$46,2,0)," ")</f>
        <v>Servicio de educación informal</v>
      </c>
      <c r="X524" s="249" t="str">
        <f>CONCATENATE(V524,"_",W524)</f>
        <v>002_Servicio de educación informal</v>
      </c>
      <c r="Y524" s="249" t="str">
        <f>CONCATENATE(U524," ",X524)</f>
        <v>07-Servicio de formación en gestión del riesgo de incendios para el personal UAECOB 002_Servicio de educación informal</v>
      </c>
      <c r="Z524" s="248" t="str">
        <f>CONCATENATE(P524,Q524,R524,S524,V524)</f>
        <v>O23011745032024025507002</v>
      </c>
      <c r="AA524" s="248" t="str">
        <f>IFERROR(VLOOKUP(Y524,TD!$K$47:$L$65,2,0)," ")</f>
        <v>PM/0131/0107/45030020255</v>
      </c>
      <c r="AB524" s="125" t="s">
        <v>138</v>
      </c>
      <c r="AC524" s="250" t="s">
        <v>204</v>
      </c>
    </row>
    <row r="525" spans="2:29" s="28" customFormat="1" ht="70" x14ac:dyDescent="0.35">
      <c r="B525" s="77">
        <v>20250572</v>
      </c>
      <c r="C525" s="50" t="s">
        <v>209</v>
      </c>
      <c r="D525" s="246" t="s">
        <v>165</v>
      </c>
      <c r="E525" s="51" t="s">
        <v>484</v>
      </c>
      <c r="F525" s="246" t="s">
        <v>392</v>
      </c>
      <c r="G525" s="246" t="s">
        <v>155</v>
      </c>
      <c r="H525" s="93">
        <v>80111600</v>
      </c>
      <c r="I525" s="247">
        <v>2</v>
      </c>
      <c r="J525" s="247">
        <v>11</v>
      </c>
      <c r="K525" s="52">
        <v>0</v>
      </c>
      <c r="L525" s="53">
        <f>48828675-145342</f>
        <v>48683333</v>
      </c>
      <c r="M525" s="246" t="s">
        <v>464</v>
      </c>
      <c r="N525" s="53" t="s">
        <v>113</v>
      </c>
      <c r="O525" s="51" t="s">
        <v>229</v>
      </c>
      <c r="P525" s="248" t="str">
        <f>IFERROR(VLOOKUP(C525,TD!$B$33:$F$37,2,0)," ")</f>
        <v>O230117</v>
      </c>
      <c r="Q525" s="248" t="str">
        <f>IFERROR(VLOOKUP(C525,TD!$B$33:$F$37,3,0)," ")</f>
        <v>4503</v>
      </c>
      <c r="R525" s="248">
        <f>IFERROR(VLOOKUP(C525,TD!$B$33:$F$37,4,0)," ")</f>
        <v>20240255</v>
      </c>
      <c r="S525" s="51" t="s">
        <v>183</v>
      </c>
      <c r="T525" s="248" t="str">
        <f>IFERROR(VLOOKUP(S525,TD!$J$34:$K$44,2,0)," ")</f>
        <v>Servicio de formación en gestión del riesgo de incendios para el personal UAECOB</v>
      </c>
      <c r="U525" s="249" t="str">
        <f>CONCATENATE(S525,"-",T525)</f>
        <v>07-Servicio de formación en gestión del riesgo de incendios para el personal UAECOB</v>
      </c>
      <c r="V525" s="51" t="s">
        <v>233</v>
      </c>
      <c r="W525" s="248" t="str">
        <f>IFERROR(VLOOKUP(V525,TD!$N$34:$O$46,2,0)," ")</f>
        <v>Servicio de educación informal</v>
      </c>
      <c r="X525" s="249" t="str">
        <f>CONCATENATE(V525,"_",W525)</f>
        <v>002_Servicio de educación informal</v>
      </c>
      <c r="Y525" s="249" t="str">
        <f>CONCATENATE(U525," ",X525)</f>
        <v>07-Servicio de formación en gestión del riesgo de incendios para el personal UAECOB 002_Servicio de educación informal</v>
      </c>
      <c r="Z525" s="248" t="str">
        <f>CONCATENATE(P525,Q525,R525,S525,V525)</f>
        <v>O23011745032024025507002</v>
      </c>
      <c r="AA525" s="248" t="str">
        <f>IFERROR(VLOOKUP(Y525,TD!$K$47:$L$65,2,0)," ")</f>
        <v>PM/0131/0107/45030020255</v>
      </c>
      <c r="AB525" s="125" t="s">
        <v>138</v>
      </c>
      <c r="AC525" s="250" t="s">
        <v>204</v>
      </c>
    </row>
    <row r="526" spans="2:29" s="28" customFormat="1" ht="84" x14ac:dyDescent="0.35">
      <c r="B526" s="77">
        <v>20250573</v>
      </c>
      <c r="C526" s="50" t="s">
        <v>209</v>
      </c>
      <c r="D526" s="246" t="s">
        <v>165</v>
      </c>
      <c r="E526" s="51" t="s">
        <v>484</v>
      </c>
      <c r="F526" s="246" t="s">
        <v>682</v>
      </c>
      <c r="G526" s="246" t="s">
        <v>155</v>
      </c>
      <c r="H526" s="93">
        <v>80111600</v>
      </c>
      <c r="I526" s="247">
        <v>2</v>
      </c>
      <c r="J526" s="247">
        <v>11</v>
      </c>
      <c r="K526" s="52">
        <v>0</v>
      </c>
      <c r="L526" s="53">
        <f>56230900-130900</f>
        <v>56100000</v>
      </c>
      <c r="M526" s="246" t="s">
        <v>464</v>
      </c>
      <c r="N526" s="53" t="s">
        <v>113</v>
      </c>
      <c r="O526" s="51" t="s">
        <v>229</v>
      </c>
      <c r="P526" s="248" t="str">
        <f>IFERROR(VLOOKUP(C526,TD!$B$33:$F$37,2,0)," ")</f>
        <v>O230117</v>
      </c>
      <c r="Q526" s="248" t="str">
        <f>IFERROR(VLOOKUP(C526,TD!$B$33:$F$37,3,0)," ")</f>
        <v>4503</v>
      </c>
      <c r="R526" s="248">
        <f>IFERROR(VLOOKUP(C526,TD!$B$33:$F$37,4,0)," ")</f>
        <v>20240255</v>
      </c>
      <c r="S526" s="51" t="s">
        <v>183</v>
      </c>
      <c r="T526" s="248" t="str">
        <f>IFERROR(VLOOKUP(S526,TD!$J$34:$K$44,2,0)," ")</f>
        <v>Servicio de formación en gestión del riesgo de incendios para el personal UAECOB</v>
      </c>
      <c r="U526" s="249" t="str">
        <f>CONCATENATE(S526,"-",T526)</f>
        <v>07-Servicio de formación en gestión del riesgo de incendios para el personal UAECOB</v>
      </c>
      <c r="V526" s="51" t="s">
        <v>233</v>
      </c>
      <c r="W526" s="248" t="str">
        <f>IFERROR(VLOOKUP(V526,TD!$N$34:$O$46,2,0)," ")</f>
        <v>Servicio de educación informal</v>
      </c>
      <c r="X526" s="249" t="str">
        <f>CONCATENATE(V526,"_",W526)</f>
        <v>002_Servicio de educación informal</v>
      </c>
      <c r="Y526" s="249" t="str">
        <f>CONCATENATE(U526," ",X526)</f>
        <v>07-Servicio de formación en gestión del riesgo de incendios para el personal UAECOB 002_Servicio de educación informal</v>
      </c>
      <c r="Z526" s="248" t="str">
        <f>CONCATENATE(P526,Q526,R526,S526,V526)</f>
        <v>O23011745032024025507002</v>
      </c>
      <c r="AA526" s="248" t="str">
        <f>IFERROR(VLOOKUP(Y526,TD!$K$47:$L$65,2,0)," ")</f>
        <v>PM/0131/0107/45030020255</v>
      </c>
      <c r="AB526" s="125" t="s">
        <v>138</v>
      </c>
      <c r="AC526" s="250" t="s">
        <v>204</v>
      </c>
    </row>
    <row r="527" spans="2:29" s="28" customFormat="1" ht="56" x14ac:dyDescent="0.35">
      <c r="B527" s="77">
        <v>20250574</v>
      </c>
      <c r="C527" s="50" t="s">
        <v>209</v>
      </c>
      <c r="D527" s="246" t="s">
        <v>165</v>
      </c>
      <c r="E527" s="51" t="s">
        <v>484</v>
      </c>
      <c r="F527" s="246" t="s">
        <v>683</v>
      </c>
      <c r="G527" s="246" t="s">
        <v>155</v>
      </c>
      <c r="H527" s="94">
        <v>80111600</v>
      </c>
      <c r="I527" s="94">
        <v>2</v>
      </c>
      <c r="J527" s="94">
        <v>11</v>
      </c>
      <c r="K527" s="52">
        <v>0</v>
      </c>
      <c r="L527" s="53">
        <f>56230900-3430900</f>
        <v>52800000</v>
      </c>
      <c r="M527" s="246" t="s">
        <v>464</v>
      </c>
      <c r="N527" s="53" t="s">
        <v>113</v>
      </c>
      <c r="O527" s="51" t="s">
        <v>229</v>
      </c>
      <c r="P527" s="248" t="str">
        <f>IFERROR(VLOOKUP(C527,TD!$B$33:$F$37,2,0)," ")</f>
        <v>O230117</v>
      </c>
      <c r="Q527" s="248" t="str">
        <f>IFERROR(VLOOKUP(C527,TD!$B$33:$F$37,3,0)," ")</f>
        <v>4503</v>
      </c>
      <c r="R527" s="248">
        <f>IFERROR(VLOOKUP(C527,TD!$B$33:$F$37,4,0)," ")</f>
        <v>20240255</v>
      </c>
      <c r="S527" s="51" t="s">
        <v>183</v>
      </c>
      <c r="T527" s="248" t="str">
        <f>IFERROR(VLOOKUP(S527,TD!$J$34:$K$44,2,0)," ")</f>
        <v>Servicio de formación en gestión del riesgo de incendios para el personal UAECOB</v>
      </c>
      <c r="U527" s="249" t="str">
        <f>CONCATENATE(S527,"-",T527)</f>
        <v>07-Servicio de formación en gestión del riesgo de incendios para el personal UAECOB</v>
      </c>
      <c r="V527" s="51" t="s">
        <v>233</v>
      </c>
      <c r="W527" s="248" t="str">
        <f>IFERROR(VLOOKUP(V527,TD!$N$34:$O$46,2,0)," ")</f>
        <v>Servicio de educación informal</v>
      </c>
      <c r="X527" s="249" t="str">
        <f>CONCATENATE(V527,"_",W527)</f>
        <v>002_Servicio de educación informal</v>
      </c>
      <c r="Y527" s="249" t="str">
        <f>CONCATENATE(U527," ",X527)</f>
        <v>07-Servicio de formación en gestión del riesgo de incendios para el personal UAECOB 002_Servicio de educación informal</v>
      </c>
      <c r="Z527" s="248" t="str">
        <f>CONCATENATE(P527,Q527,R527,S527,V527)</f>
        <v>O23011745032024025507002</v>
      </c>
      <c r="AA527" s="248" t="str">
        <f>IFERROR(VLOOKUP(Y527,TD!$K$47:$L$65,2,0)," ")</f>
        <v>PM/0131/0107/45030020255</v>
      </c>
      <c r="AB527" s="125" t="s">
        <v>138</v>
      </c>
      <c r="AC527" s="250" t="s">
        <v>204</v>
      </c>
    </row>
    <row r="528" spans="2:29" s="28" customFormat="1" ht="56" x14ac:dyDescent="0.35">
      <c r="B528" s="77">
        <v>20250575</v>
      </c>
      <c r="C528" s="50" t="s">
        <v>209</v>
      </c>
      <c r="D528" s="246" t="s">
        <v>165</v>
      </c>
      <c r="E528" s="51" t="s">
        <v>484</v>
      </c>
      <c r="F528" s="246" t="s">
        <v>684</v>
      </c>
      <c r="G528" s="246" t="s">
        <v>155</v>
      </c>
      <c r="H528" s="94">
        <v>80111600</v>
      </c>
      <c r="I528" s="94">
        <v>2</v>
      </c>
      <c r="J528" s="94">
        <v>11</v>
      </c>
      <c r="K528" s="52">
        <v>0</v>
      </c>
      <c r="L528" s="53">
        <v>76500000</v>
      </c>
      <c r="M528" s="246" t="s">
        <v>464</v>
      </c>
      <c r="N528" s="53" t="s">
        <v>113</v>
      </c>
      <c r="O528" s="51" t="s">
        <v>229</v>
      </c>
      <c r="P528" s="248" t="str">
        <f>IFERROR(VLOOKUP(C528,TD!$B$33:$F$37,2,0)," ")</f>
        <v>O230117</v>
      </c>
      <c r="Q528" s="248" t="str">
        <f>IFERROR(VLOOKUP(C528,TD!$B$33:$F$37,3,0)," ")</f>
        <v>4503</v>
      </c>
      <c r="R528" s="248">
        <f>IFERROR(VLOOKUP(C528,TD!$B$33:$F$37,4,0)," ")</f>
        <v>20240255</v>
      </c>
      <c r="S528" s="51" t="s">
        <v>183</v>
      </c>
      <c r="T528" s="248" t="str">
        <f>IFERROR(VLOOKUP(S528,TD!$J$34:$K$44,2,0)," ")</f>
        <v>Servicio de formación en gestión del riesgo de incendios para el personal UAECOB</v>
      </c>
      <c r="U528" s="249" t="str">
        <f>CONCATENATE(S528,"-",T528)</f>
        <v>07-Servicio de formación en gestión del riesgo de incendios para el personal UAECOB</v>
      </c>
      <c r="V528" s="51" t="s">
        <v>233</v>
      </c>
      <c r="W528" s="248" t="str">
        <f>IFERROR(VLOOKUP(V528,TD!$N$34:$O$46,2,0)," ")</f>
        <v>Servicio de educación informal</v>
      </c>
      <c r="X528" s="249" t="str">
        <f>CONCATENATE(V528,"_",W528)</f>
        <v>002_Servicio de educación informal</v>
      </c>
      <c r="Y528" s="249" t="str">
        <f>CONCATENATE(U528," ",X528)</f>
        <v>07-Servicio de formación en gestión del riesgo de incendios para el personal UAECOB 002_Servicio de educación informal</v>
      </c>
      <c r="Z528" s="248" t="str">
        <f>CONCATENATE(P528,Q528,R528,S528,V528)</f>
        <v>O23011745032024025507002</v>
      </c>
      <c r="AA528" s="248" t="str">
        <f>IFERROR(VLOOKUP(Y528,TD!$K$47:$L$65,2,0)," ")</f>
        <v>PM/0131/0107/45030020255</v>
      </c>
      <c r="AB528" s="125" t="s">
        <v>138</v>
      </c>
      <c r="AC528" s="250" t="s">
        <v>204</v>
      </c>
    </row>
    <row r="529" spans="2:29" s="28" customFormat="1" ht="70" x14ac:dyDescent="0.35">
      <c r="B529" s="77">
        <v>20250576</v>
      </c>
      <c r="C529" s="50" t="s">
        <v>209</v>
      </c>
      <c r="D529" s="246" t="s">
        <v>165</v>
      </c>
      <c r="E529" s="51" t="s">
        <v>484</v>
      </c>
      <c r="F529" s="246" t="s">
        <v>685</v>
      </c>
      <c r="G529" s="246" t="s">
        <v>156</v>
      </c>
      <c r="H529" s="93">
        <v>80111600</v>
      </c>
      <c r="I529" s="247">
        <v>2</v>
      </c>
      <c r="J529" s="247">
        <v>8</v>
      </c>
      <c r="K529" s="52">
        <v>0</v>
      </c>
      <c r="L529" s="53">
        <v>29600000</v>
      </c>
      <c r="M529" s="246" t="s">
        <v>464</v>
      </c>
      <c r="N529" s="53" t="s">
        <v>113</v>
      </c>
      <c r="O529" s="51" t="s">
        <v>229</v>
      </c>
      <c r="P529" s="248" t="str">
        <f>IFERROR(VLOOKUP(C529,TD!$B$33:$F$37,2,0)," ")</f>
        <v>O230117</v>
      </c>
      <c r="Q529" s="248" t="str">
        <f>IFERROR(VLOOKUP(C529,TD!$B$33:$F$37,3,0)," ")</f>
        <v>4503</v>
      </c>
      <c r="R529" s="248">
        <f>IFERROR(VLOOKUP(C529,TD!$B$33:$F$37,4,0)," ")</f>
        <v>20240255</v>
      </c>
      <c r="S529" s="51" t="s">
        <v>183</v>
      </c>
      <c r="T529" s="248" t="str">
        <f>IFERROR(VLOOKUP(S529,TD!$J$34:$K$44,2,0)," ")</f>
        <v>Servicio de formación en gestión del riesgo de incendios para el personal UAECOB</v>
      </c>
      <c r="U529" s="249" t="str">
        <f>CONCATENATE(S529,"-",T529)</f>
        <v>07-Servicio de formación en gestión del riesgo de incendios para el personal UAECOB</v>
      </c>
      <c r="V529" s="51" t="s">
        <v>233</v>
      </c>
      <c r="W529" s="248" t="str">
        <f>IFERROR(VLOOKUP(V529,TD!$N$34:$O$46,2,0)," ")</f>
        <v>Servicio de educación informal</v>
      </c>
      <c r="X529" s="249" t="str">
        <f>CONCATENATE(V529,"_",W529)</f>
        <v>002_Servicio de educación informal</v>
      </c>
      <c r="Y529" s="249" t="str">
        <f>CONCATENATE(U529," ",X529)</f>
        <v>07-Servicio de formación en gestión del riesgo de incendios para el personal UAECOB 002_Servicio de educación informal</v>
      </c>
      <c r="Z529" s="248" t="str">
        <f>CONCATENATE(P529,Q529,R529,S529,V529)</f>
        <v>O23011745032024025507002</v>
      </c>
      <c r="AA529" s="248" t="str">
        <f>IFERROR(VLOOKUP(Y529,TD!$K$47:$L$65,2,0)," ")</f>
        <v>PM/0131/0107/45030020255</v>
      </c>
      <c r="AB529" s="125" t="s">
        <v>138</v>
      </c>
      <c r="AC529" s="250" t="s">
        <v>204</v>
      </c>
    </row>
    <row r="530" spans="2:29" s="28" customFormat="1" ht="56" x14ac:dyDescent="0.35">
      <c r="B530" s="77">
        <v>20250577</v>
      </c>
      <c r="C530" s="50" t="s">
        <v>209</v>
      </c>
      <c r="D530" s="246" t="s">
        <v>165</v>
      </c>
      <c r="E530" s="51" t="s">
        <v>484</v>
      </c>
      <c r="F530" s="246" t="s">
        <v>686</v>
      </c>
      <c r="G530" s="246" t="s">
        <v>156</v>
      </c>
      <c r="H530" s="93">
        <v>80111600</v>
      </c>
      <c r="I530" s="247">
        <v>2</v>
      </c>
      <c r="J530" s="247">
        <v>8</v>
      </c>
      <c r="K530" s="52">
        <v>0</v>
      </c>
      <c r="L530" s="53">
        <f>27600000-1328000</f>
        <v>26272000</v>
      </c>
      <c r="M530" s="246" t="s">
        <v>464</v>
      </c>
      <c r="N530" s="53" t="s">
        <v>113</v>
      </c>
      <c r="O530" s="51" t="s">
        <v>229</v>
      </c>
      <c r="P530" s="248" t="str">
        <f>IFERROR(VLOOKUP(C530,TD!$B$33:$F$37,2,0)," ")</f>
        <v>O230117</v>
      </c>
      <c r="Q530" s="248" t="str">
        <f>IFERROR(VLOOKUP(C530,TD!$B$33:$F$37,3,0)," ")</f>
        <v>4503</v>
      </c>
      <c r="R530" s="248">
        <f>IFERROR(VLOOKUP(C530,TD!$B$33:$F$37,4,0)," ")</f>
        <v>20240255</v>
      </c>
      <c r="S530" s="51" t="s">
        <v>183</v>
      </c>
      <c r="T530" s="248" t="str">
        <f>IFERROR(VLOOKUP(S530,TD!$J$34:$K$44,2,0)," ")</f>
        <v>Servicio de formación en gestión del riesgo de incendios para el personal UAECOB</v>
      </c>
      <c r="U530" s="249" t="str">
        <f>CONCATENATE(S530,"-",T530)</f>
        <v>07-Servicio de formación en gestión del riesgo de incendios para el personal UAECOB</v>
      </c>
      <c r="V530" s="51" t="s">
        <v>233</v>
      </c>
      <c r="W530" s="248" t="str">
        <f>IFERROR(VLOOKUP(V530,TD!$N$34:$O$46,2,0)," ")</f>
        <v>Servicio de educación informal</v>
      </c>
      <c r="X530" s="249" t="str">
        <f>CONCATENATE(V530,"_",W530)</f>
        <v>002_Servicio de educación informal</v>
      </c>
      <c r="Y530" s="249" t="str">
        <f>CONCATENATE(U530," ",X530)</f>
        <v>07-Servicio de formación en gestión del riesgo de incendios para el personal UAECOB 002_Servicio de educación informal</v>
      </c>
      <c r="Z530" s="248" t="str">
        <f>CONCATENATE(P530,Q530,R530,S530,V530)</f>
        <v>O23011745032024025507002</v>
      </c>
      <c r="AA530" s="248" t="str">
        <f>IFERROR(VLOOKUP(Y530,TD!$K$47:$L$65,2,0)," ")</f>
        <v>PM/0131/0107/45030020255</v>
      </c>
      <c r="AB530" s="125" t="s">
        <v>138</v>
      </c>
      <c r="AC530" s="250" t="s">
        <v>204</v>
      </c>
    </row>
    <row r="531" spans="2:29" s="28" customFormat="1" ht="98" x14ac:dyDescent="0.35">
      <c r="B531" s="77">
        <v>20250578</v>
      </c>
      <c r="C531" s="50" t="s">
        <v>209</v>
      </c>
      <c r="D531" s="246" t="s">
        <v>165</v>
      </c>
      <c r="E531" s="51" t="s">
        <v>484</v>
      </c>
      <c r="F531" s="246" t="s">
        <v>687</v>
      </c>
      <c r="G531" s="246" t="s">
        <v>155</v>
      </c>
      <c r="H531" s="93">
        <v>80111600</v>
      </c>
      <c r="I531" s="247">
        <v>2</v>
      </c>
      <c r="J531" s="247">
        <v>11</v>
      </c>
      <c r="K531" s="52">
        <v>0</v>
      </c>
      <c r="L531" s="53">
        <v>45000000</v>
      </c>
      <c r="M531" s="246" t="s">
        <v>464</v>
      </c>
      <c r="N531" s="53" t="s">
        <v>113</v>
      </c>
      <c r="O531" s="51" t="s">
        <v>229</v>
      </c>
      <c r="P531" s="248" t="str">
        <f>IFERROR(VLOOKUP(C531,TD!$B$33:$F$37,2,0)," ")</f>
        <v>O230117</v>
      </c>
      <c r="Q531" s="248" t="str">
        <f>IFERROR(VLOOKUP(C531,TD!$B$33:$F$37,3,0)," ")</f>
        <v>4503</v>
      </c>
      <c r="R531" s="248">
        <f>IFERROR(VLOOKUP(C531,TD!$B$33:$F$37,4,0)," ")</f>
        <v>20240255</v>
      </c>
      <c r="S531" s="51" t="s">
        <v>183</v>
      </c>
      <c r="T531" s="248" t="str">
        <f>IFERROR(VLOOKUP(S531,TD!$J$34:$K$44,2,0)," ")</f>
        <v>Servicio de formación en gestión del riesgo de incendios para el personal UAECOB</v>
      </c>
      <c r="U531" s="249" t="str">
        <f>CONCATENATE(S531,"-",T531)</f>
        <v>07-Servicio de formación en gestión del riesgo de incendios para el personal UAECOB</v>
      </c>
      <c r="V531" s="51" t="s">
        <v>233</v>
      </c>
      <c r="W531" s="248" t="str">
        <f>IFERROR(VLOOKUP(V531,TD!$N$34:$O$46,2,0)," ")</f>
        <v>Servicio de educación informal</v>
      </c>
      <c r="X531" s="249" t="str">
        <f>CONCATENATE(V531,"_",W531)</f>
        <v>002_Servicio de educación informal</v>
      </c>
      <c r="Y531" s="249" t="str">
        <f>CONCATENATE(U531," ",X531)</f>
        <v>07-Servicio de formación en gestión del riesgo de incendios para el personal UAECOB 002_Servicio de educación informal</v>
      </c>
      <c r="Z531" s="248" t="str">
        <f>CONCATENATE(P531,Q531,R531,S531,V531)</f>
        <v>O23011745032024025507002</v>
      </c>
      <c r="AA531" s="248" t="str">
        <f>IFERROR(VLOOKUP(Y531,TD!$K$47:$L$65,2,0)," ")</f>
        <v>PM/0131/0107/45030020255</v>
      </c>
      <c r="AB531" s="125" t="s">
        <v>138</v>
      </c>
      <c r="AC531" s="250" t="s">
        <v>204</v>
      </c>
    </row>
    <row r="532" spans="2:29" s="28" customFormat="1" ht="70" x14ac:dyDescent="0.35">
      <c r="B532" s="77">
        <v>20250579</v>
      </c>
      <c r="C532" s="50" t="s">
        <v>209</v>
      </c>
      <c r="D532" s="246" t="s">
        <v>165</v>
      </c>
      <c r="E532" s="51" t="s">
        <v>484</v>
      </c>
      <c r="F532" s="246" t="s">
        <v>688</v>
      </c>
      <c r="G532" s="246" t="s">
        <v>155</v>
      </c>
      <c r="H532" s="93">
        <v>80111600</v>
      </c>
      <c r="I532" s="247">
        <v>2</v>
      </c>
      <c r="J532" s="247">
        <v>11</v>
      </c>
      <c r="K532" s="52">
        <v>0</v>
      </c>
      <c r="L532" s="53">
        <v>87546667</v>
      </c>
      <c r="M532" s="246" t="s">
        <v>464</v>
      </c>
      <c r="N532" s="53" t="s">
        <v>113</v>
      </c>
      <c r="O532" s="51" t="s">
        <v>229</v>
      </c>
      <c r="P532" s="248" t="str">
        <f>IFERROR(VLOOKUP(C532,TD!$B$33:$F$37,2,0)," ")</f>
        <v>O230117</v>
      </c>
      <c r="Q532" s="248" t="str">
        <f>IFERROR(VLOOKUP(C532,TD!$B$33:$F$37,3,0)," ")</f>
        <v>4503</v>
      </c>
      <c r="R532" s="248">
        <f>IFERROR(VLOOKUP(C532,TD!$B$33:$F$37,4,0)," ")</f>
        <v>20240255</v>
      </c>
      <c r="S532" s="51" t="s">
        <v>183</v>
      </c>
      <c r="T532" s="248" t="str">
        <f>IFERROR(VLOOKUP(S532,TD!$J$34:$K$44,2,0)," ")</f>
        <v>Servicio de formación en gestión del riesgo de incendios para el personal UAECOB</v>
      </c>
      <c r="U532" s="249" t="str">
        <f>CONCATENATE(S532,"-",T532)</f>
        <v>07-Servicio de formación en gestión del riesgo de incendios para el personal UAECOB</v>
      </c>
      <c r="V532" s="51" t="s">
        <v>233</v>
      </c>
      <c r="W532" s="248" t="str">
        <f>IFERROR(VLOOKUP(V532,TD!$N$34:$O$46,2,0)," ")</f>
        <v>Servicio de educación informal</v>
      </c>
      <c r="X532" s="249" t="str">
        <f>CONCATENATE(V532,"_",W532)</f>
        <v>002_Servicio de educación informal</v>
      </c>
      <c r="Y532" s="249" t="str">
        <f>CONCATENATE(U532," ",X532)</f>
        <v>07-Servicio de formación en gestión del riesgo de incendios para el personal UAECOB 002_Servicio de educación informal</v>
      </c>
      <c r="Z532" s="248" t="str">
        <f>CONCATENATE(P532,Q532,R532,S532,V532)</f>
        <v>O23011745032024025507002</v>
      </c>
      <c r="AA532" s="248" t="str">
        <f>IFERROR(VLOOKUP(Y532,TD!$K$47:$L$65,2,0)," ")</f>
        <v>PM/0131/0107/45030020255</v>
      </c>
      <c r="AB532" s="125" t="s">
        <v>120</v>
      </c>
      <c r="AC532" s="250" t="s">
        <v>204</v>
      </c>
    </row>
    <row r="533" spans="2:29" s="28" customFormat="1" ht="56" x14ac:dyDescent="0.35">
      <c r="B533" s="77">
        <v>20250580</v>
      </c>
      <c r="C533" s="50" t="s">
        <v>209</v>
      </c>
      <c r="D533" s="246" t="s">
        <v>165</v>
      </c>
      <c r="E533" s="51" t="s">
        <v>484</v>
      </c>
      <c r="F533" s="246" t="s">
        <v>689</v>
      </c>
      <c r="G533" s="246" t="s">
        <v>155</v>
      </c>
      <c r="H533" s="93">
        <v>80111600</v>
      </c>
      <c r="I533" s="247">
        <v>2</v>
      </c>
      <c r="J533" s="247">
        <v>11</v>
      </c>
      <c r="K533" s="52">
        <v>0</v>
      </c>
      <c r="L533" s="53">
        <v>38500000</v>
      </c>
      <c r="M533" s="246" t="s">
        <v>464</v>
      </c>
      <c r="N533" s="53" t="s">
        <v>113</v>
      </c>
      <c r="O533" s="51" t="s">
        <v>229</v>
      </c>
      <c r="P533" s="248" t="str">
        <f>IFERROR(VLOOKUP(C533,TD!$B$33:$F$37,2,0)," ")</f>
        <v>O230117</v>
      </c>
      <c r="Q533" s="248" t="str">
        <f>IFERROR(VLOOKUP(C533,TD!$B$33:$F$37,3,0)," ")</f>
        <v>4503</v>
      </c>
      <c r="R533" s="248">
        <f>IFERROR(VLOOKUP(C533,TD!$B$33:$F$37,4,0)," ")</f>
        <v>20240255</v>
      </c>
      <c r="S533" s="51" t="s">
        <v>183</v>
      </c>
      <c r="T533" s="248" t="str">
        <f>IFERROR(VLOOKUP(S533,TD!$J$34:$K$44,2,0)," ")</f>
        <v>Servicio de formación en gestión del riesgo de incendios para el personal UAECOB</v>
      </c>
      <c r="U533" s="249" t="str">
        <f>CONCATENATE(S533,"-",T533)</f>
        <v>07-Servicio de formación en gestión del riesgo de incendios para el personal UAECOB</v>
      </c>
      <c r="V533" s="51" t="s">
        <v>233</v>
      </c>
      <c r="W533" s="248" t="str">
        <f>IFERROR(VLOOKUP(V533,TD!$N$34:$O$46,2,0)," ")</f>
        <v>Servicio de educación informal</v>
      </c>
      <c r="X533" s="249" t="str">
        <f>CONCATENATE(V533,"_",W533)</f>
        <v>002_Servicio de educación informal</v>
      </c>
      <c r="Y533" s="249" t="str">
        <f>CONCATENATE(U533," ",X533)</f>
        <v>07-Servicio de formación en gestión del riesgo de incendios para el personal UAECOB 002_Servicio de educación informal</v>
      </c>
      <c r="Z533" s="248" t="str">
        <f>CONCATENATE(P533,Q533,R533,S533,V533)</f>
        <v>O23011745032024025507002</v>
      </c>
      <c r="AA533" s="248" t="str">
        <f>IFERROR(VLOOKUP(Y533,TD!$K$47:$L$65,2,0)," ")</f>
        <v>PM/0131/0107/45030020255</v>
      </c>
      <c r="AB533" s="125" t="s">
        <v>138</v>
      </c>
      <c r="AC533" s="250" t="s">
        <v>204</v>
      </c>
    </row>
    <row r="534" spans="2:29" s="28" customFormat="1" ht="84" x14ac:dyDescent="0.35">
      <c r="B534" s="77">
        <v>20250581</v>
      </c>
      <c r="C534" s="50" t="s">
        <v>209</v>
      </c>
      <c r="D534" s="246" t="s">
        <v>165</v>
      </c>
      <c r="E534" s="51" t="s">
        <v>484</v>
      </c>
      <c r="F534" s="246" t="s">
        <v>690</v>
      </c>
      <c r="G534" s="246" t="s">
        <v>155</v>
      </c>
      <c r="H534" s="93">
        <v>80111600</v>
      </c>
      <c r="I534" s="247">
        <v>2</v>
      </c>
      <c r="J534" s="247">
        <v>11</v>
      </c>
      <c r="K534" s="52">
        <v>0</v>
      </c>
      <c r="L534" s="53">
        <v>64000000</v>
      </c>
      <c r="M534" s="246" t="s">
        <v>464</v>
      </c>
      <c r="N534" s="53" t="s">
        <v>113</v>
      </c>
      <c r="O534" s="51" t="s">
        <v>229</v>
      </c>
      <c r="P534" s="248" t="str">
        <f>IFERROR(VLOOKUP(C534,TD!$B$33:$F$37,2,0)," ")</f>
        <v>O230117</v>
      </c>
      <c r="Q534" s="248" t="str">
        <f>IFERROR(VLOOKUP(C534,TD!$B$33:$F$37,3,0)," ")</f>
        <v>4503</v>
      </c>
      <c r="R534" s="248">
        <f>IFERROR(VLOOKUP(C534,TD!$B$33:$F$37,4,0)," ")</f>
        <v>20240255</v>
      </c>
      <c r="S534" s="51" t="s">
        <v>183</v>
      </c>
      <c r="T534" s="248" t="str">
        <f>IFERROR(VLOOKUP(S534,TD!$J$34:$K$44,2,0)," ")</f>
        <v>Servicio de formación en gestión del riesgo de incendios para el personal UAECOB</v>
      </c>
      <c r="U534" s="249" t="str">
        <f>CONCATENATE(S534,"-",T534)</f>
        <v>07-Servicio de formación en gestión del riesgo de incendios para el personal UAECOB</v>
      </c>
      <c r="V534" s="51" t="s">
        <v>233</v>
      </c>
      <c r="W534" s="248" t="str">
        <f>IFERROR(VLOOKUP(V534,TD!$N$34:$O$46,2,0)," ")</f>
        <v>Servicio de educación informal</v>
      </c>
      <c r="X534" s="249" t="str">
        <f>CONCATENATE(V534,"_",W534)</f>
        <v>002_Servicio de educación informal</v>
      </c>
      <c r="Y534" s="249" t="str">
        <f>CONCATENATE(U534," ",X534)</f>
        <v>07-Servicio de formación en gestión del riesgo de incendios para el personal UAECOB 002_Servicio de educación informal</v>
      </c>
      <c r="Z534" s="248" t="str">
        <f>CONCATENATE(P534,Q534,R534,S534,V534)</f>
        <v>O23011745032024025507002</v>
      </c>
      <c r="AA534" s="248" t="str">
        <f>IFERROR(VLOOKUP(Y534,TD!$K$47:$L$65,2,0)," ")</f>
        <v>PM/0131/0107/45030020255</v>
      </c>
      <c r="AB534" s="125" t="s">
        <v>138</v>
      </c>
      <c r="AC534" s="250" t="s">
        <v>204</v>
      </c>
    </row>
    <row r="535" spans="2:29" s="28" customFormat="1" ht="126" x14ac:dyDescent="0.35">
      <c r="B535" s="77">
        <v>20250582</v>
      </c>
      <c r="C535" s="50" t="s">
        <v>209</v>
      </c>
      <c r="D535" s="246" t="s">
        <v>165</v>
      </c>
      <c r="E535" s="51" t="s">
        <v>484</v>
      </c>
      <c r="F535" s="246" t="s">
        <v>809</v>
      </c>
      <c r="G535" s="246" t="s">
        <v>155</v>
      </c>
      <c r="H535" s="93">
        <v>80111600</v>
      </c>
      <c r="I535" s="247">
        <v>2</v>
      </c>
      <c r="J535" s="247">
        <v>8</v>
      </c>
      <c r="K535" s="52">
        <v>0</v>
      </c>
      <c r="L535" s="53">
        <v>56000000</v>
      </c>
      <c r="M535" s="246" t="s">
        <v>464</v>
      </c>
      <c r="N535" s="53" t="s">
        <v>113</v>
      </c>
      <c r="O535" s="51" t="s">
        <v>229</v>
      </c>
      <c r="P535" s="248" t="str">
        <f>IFERROR(VLOOKUP(C535,TD!$B$33:$F$37,2,0)," ")</f>
        <v>O230117</v>
      </c>
      <c r="Q535" s="248" t="str">
        <f>IFERROR(VLOOKUP(C535,TD!$B$33:$F$37,3,0)," ")</f>
        <v>4503</v>
      </c>
      <c r="R535" s="248">
        <f>IFERROR(VLOOKUP(C535,TD!$B$33:$F$37,4,0)," ")</f>
        <v>20240255</v>
      </c>
      <c r="S535" s="51" t="s">
        <v>183</v>
      </c>
      <c r="T535" s="248" t="str">
        <f>IFERROR(VLOOKUP(S535,TD!$J$34:$K$44,2,0)," ")</f>
        <v>Servicio de formación en gestión del riesgo de incendios para el personal UAECOB</v>
      </c>
      <c r="U535" s="249" t="str">
        <f>CONCATENATE(S535,"-",T535)</f>
        <v>07-Servicio de formación en gestión del riesgo de incendios para el personal UAECOB</v>
      </c>
      <c r="V535" s="51" t="s">
        <v>233</v>
      </c>
      <c r="W535" s="248" t="str">
        <f>IFERROR(VLOOKUP(V535,TD!$N$34:$O$46,2,0)," ")</f>
        <v>Servicio de educación informal</v>
      </c>
      <c r="X535" s="249" t="str">
        <f>CONCATENATE(V535,"_",W535)</f>
        <v>002_Servicio de educación informal</v>
      </c>
      <c r="Y535" s="249" t="str">
        <f>CONCATENATE(U535," ",X535)</f>
        <v>07-Servicio de formación en gestión del riesgo de incendios para el personal UAECOB 002_Servicio de educación informal</v>
      </c>
      <c r="Z535" s="248" t="str">
        <f>CONCATENATE(P535,Q535,R535,S535,V535)</f>
        <v>O23011745032024025507002</v>
      </c>
      <c r="AA535" s="248" t="str">
        <f>IFERROR(VLOOKUP(Y535,TD!$K$47:$L$65,2,0)," ")</f>
        <v>PM/0131/0107/45030020255</v>
      </c>
      <c r="AB535" s="125" t="s">
        <v>138</v>
      </c>
      <c r="AC535" s="250" t="s">
        <v>204</v>
      </c>
    </row>
    <row r="536" spans="2:29" s="28" customFormat="1" ht="56" x14ac:dyDescent="0.35">
      <c r="B536" s="77">
        <v>20250583</v>
      </c>
      <c r="C536" s="50" t="s">
        <v>209</v>
      </c>
      <c r="D536" s="246" t="s">
        <v>165</v>
      </c>
      <c r="E536" s="51" t="s">
        <v>484</v>
      </c>
      <c r="F536" s="246" t="s">
        <v>691</v>
      </c>
      <c r="G536" s="246" t="s">
        <v>155</v>
      </c>
      <c r="H536" s="93">
        <v>80111600</v>
      </c>
      <c r="I536" s="247">
        <v>2</v>
      </c>
      <c r="J536" s="247">
        <v>11</v>
      </c>
      <c r="K536" s="52">
        <v>0</v>
      </c>
      <c r="L536" s="53">
        <f>40849200-49200</f>
        <v>40800000</v>
      </c>
      <c r="M536" s="246" t="s">
        <v>464</v>
      </c>
      <c r="N536" s="53" t="s">
        <v>113</v>
      </c>
      <c r="O536" s="51" t="s">
        <v>229</v>
      </c>
      <c r="P536" s="248" t="str">
        <f>IFERROR(VLOOKUP(C536,TD!$B$33:$F$37,2,0)," ")</f>
        <v>O230117</v>
      </c>
      <c r="Q536" s="248" t="str">
        <f>IFERROR(VLOOKUP(C536,TD!$B$33:$F$37,3,0)," ")</f>
        <v>4503</v>
      </c>
      <c r="R536" s="248">
        <f>IFERROR(VLOOKUP(C536,TD!$B$33:$F$37,4,0)," ")</f>
        <v>20240255</v>
      </c>
      <c r="S536" s="51" t="s">
        <v>183</v>
      </c>
      <c r="T536" s="248" t="str">
        <f>IFERROR(VLOOKUP(S536,TD!$J$34:$K$44,2,0)," ")</f>
        <v>Servicio de formación en gestión del riesgo de incendios para el personal UAECOB</v>
      </c>
      <c r="U536" s="249" t="str">
        <f>CONCATENATE(S536,"-",T536)</f>
        <v>07-Servicio de formación en gestión del riesgo de incendios para el personal UAECOB</v>
      </c>
      <c r="V536" s="51" t="s">
        <v>233</v>
      </c>
      <c r="W536" s="248" t="str">
        <f>IFERROR(VLOOKUP(V536,TD!$N$34:$O$46,2,0)," ")</f>
        <v>Servicio de educación informal</v>
      </c>
      <c r="X536" s="249" t="str">
        <f>CONCATENATE(V536,"_",W536)</f>
        <v>002_Servicio de educación informal</v>
      </c>
      <c r="Y536" s="249" t="str">
        <f>CONCATENATE(U536," ",X536)</f>
        <v>07-Servicio de formación en gestión del riesgo de incendios para el personal UAECOB 002_Servicio de educación informal</v>
      </c>
      <c r="Z536" s="248" t="str">
        <f>CONCATENATE(P536,Q536,R536,S536,V536)</f>
        <v>O23011745032024025507002</v>
      </c>
      <c r="AA536" s="248" t="str">
        <f>IFERROR(VLOOKUP(Y536,TD!$K$47:$L$65,2,0)," ")</f>
        <v>PM/0131/0107/45030020255</v>
      </c>
      <c r="AB536" s="125" t="s">
        <v>138</v>
      </c>
      <c r="AC536" s="250" t="s">
        <v>204</v>
      </c>
    </row>
    <row r="537" spans="2:29" s="28" customFormat="1" ht="56" x14ac:dyDescent="0.35">
      <c r="B537" s="77">
        <v>20250584</v>
      </c>
      <c r="C537" s="50" t="s">
        <v>209</v>
      </c>
      <c r="D537" s="246" t="s">
        <v>165</v>
      </c>
      <c r="E537" s="51" t="s">
        <v>484</v>
      </c>
      <c r="F537" s="246" t="s">
        <v>810</v>
      </c>
      <c r="G537" s="246" t="s">
        <v>155</v>
      </c>
      <c r="H537" s="93">
        <v>80111600</v>
      </c>
      <c r="I537" s="247">
        <v>2</v>
      </c>
      <c r="J537" s="247">
        <v>11</v>
      </c>
      <c r="K537" s="52">
        <v>0</v>
      </c>
      <c r="L537" s="53">
        <f>27344000-144000</f>
        <v>27200000</v>
      </c>
      <c r="M537" s="246" t="s">
        <v>464</v>
      </c>
      <c r="N537" s="53" t="s">
        <v>113</v>
      </c>
      <c r="O537" s="51" t="s">
        <v>229</v>
      </c>
      <c r="P537" s="248" t="str">
        <f>IFERROR(VLOOKUP(C537,TD!$B$33:$F$37,2,0)," ")</f>
        <v>O230117</v>
      </c>
      <c r="Q537" s="248" t="str">
        <f>IFERROR(VLOOKUP(C537,TD!$B$33:$F$37,3,0)," ")</f>
        <v>4503</v>
      </c>
      <c r="R537" s="248">
        <f>IFERROR(VLOOKUP(C537,TD!$B$33:$F$37,4,0)," ")</f>
        <v>20240255</v>
      </c>
      <c r="S537" s="51" t="s">
        <v>183</v>
      </c>
      <c r="T537" s="248" t="str">
        <f>IFERROR(VLOOKUP(S537,TD!$J$34:$K$44,2,0)," ")</f>
        <v>Servicio de formación en gestión del riesgo de incendios para el personal UAECOB</v>
      </c>
      <c r="U537" s="249" t="str">
        <f>CONCATENATE(S537,"-",T537)</f>
        <v>07-Servicio de formación en gestión del riesgo de incendios para el personal UAECOB</v>
      </c>
      <c r="V537" s="51" t="s">
        <v>233</v>
      </c>
      <c r="W537" s="248" t="str">
        <f>IFERROR(VLOOKUP(V537,TD!$N$34:$O$46,2,0)," ")</f>
        <v>Servicio de educación informal</v>
      </c>
      <c r="X537" s="249" t="str">
        <f>CONCATENATE(V537,"_",W537)</f>
        <v>002_Servicio de educación informal</v>
      </c>
      <c r="Y537" s="249" t="str">
        <f>CONCATENATE(U537," ",X537)</f>
        <v>07-Servicio de formación en gestión del riesgo de incendios para el personal UAECOB 002_Servicio de educación informal</v>
      </c>
      <c r="Z537" s="248" t="str">
        <f>CONCATENATE(P537,Q537,R537,S537,V537)</f>
        <v>O23011745032024025507002</v>
      </c>
      <c r="AA537" s="248" t="str">
        <f>IFERROR(VLOOKUP(Y537,TD!$K$47:$L$65,2,0)," ")</f>
        <v>PM/0131/0107/45030020255</v>
      </c>
      <c r="AB537" s="125" t="s">
        <v>138</v>
      </c>
      <c r="AC537" s="250" t="s">
        <v>204</v>
      </c>
    </row>
    <row r="538" spans="2:29" s="28" customFormat="1" ht="56" x14ac:dyDescent="0.35">
      <c r="B538" s="77">
        <v>20250585</v>
      </c>
      <c r="C538" s="50" t="s">
        <v>209</v>
      </c>
      <c r="D538" s="246" t="s">
        <v>165</v>
      </c>
      <c r="E538" s="51" t="s">
        <v>484</v>
      </c>
      <c r="F538" s="246" t="s">
        <v>692</v>
      </c>
      <c r="G538" s="246" t="s">
        <v>155</v>
      </c>
      <c r="H538" s="93">
        <v>80111600</v>
      </c>
      <c r="I538" s="247">
        <v>2</v>
      </c>
      <c r="J538" s="247">
        <v>11</v>
      </c>
      <c r="K538" s="52">
        <v>0</v>
      </c>
      <c r="L538" s="53">
        <f>27344000-144000</f>
        <v>27200000</v>
      </c>
      <c r="M538" s="246" t="s">
        <v>464</v>
      </c>
      <c r="N538" s="53" t="s">
        <v>113</v>
      </c>
      <c r="O538" s="51" t="s">
        <v>229</v>
      </c>
      <c r="P538" s="248" t="str">
        <f>IFERROR(VLOOKUP(C538,TD!$B$33:$F$37,2,0)," ")</f>
        <v>O230117</v>
      </c>
      <c r="Q538" s="248" t="str">
        <f>IFERROR(VLOOKUP(C538,TD!$B$33:$F$37,3,0)," ")</f>
        <v>4503</v>
      </c>
      <c r="R538" s="248">
        <f>IFERROR(VLOOKUP(C538,TD!$B$33:$F$37,4,0)," ")</f>
        <v>20240255</v>
      </c>
      <c r="S538" s="51" t="s">
        <v>183</v>
      </c>
      <c r="T538" s="248" t="str">
        <f>IFERROR(VLOOKUP(S538,TD!$J$34:$K$44,2,0)," ")</f>
        <v>Servicio de formación en gestión del riesgo de incendios para el personal UAECOB</v>
      </c>
      <c r="U538" s="249" t="str">
        <f>CONCATENATE(S538,"-",T538)</f>
        <v>07-Servicio de formación en gestión del riesgo de incendios para el personal UAECOB</v>
      </c>
      <c r="V538" s="51" t="s">
        <v>233</v>
      </c>
      <c r="W538" s="248" t="str">
        <f>IFERROR(VLOOKUP(V538,TD!$N$34:$O$46,2,0)," ")</f>
        <v>Servicio de educación informal</v>
      </c>
      <c r="X538" s="249" t="str">
        <f>CONCATENATE(V538,"_",W538)</f>
        <v>002_Servicio de educación informal</v>
      </c>
      <c r="Y538" s="249" t="str">
        <f>CONCATENATE(U538," ",X538)</f>
        <v>07-Servicio de formación en gestión del riesgo de incendios para el personal UAECOB 002_Servicio de educación informal</v>
      </c>
      <c r="Z538" s="248" t="str">
        <f>CONCATENATE(P538,Q538,R538,S538,V538)</f>
        <v>O23011745032024025507002</v>
      </c>
      <c r="AA538" s="248" t="str">
        <f>IFERROR(VLOOKUP(Y538,TD!$K$47:$L$65,2,0)," ")</f>
        <v>PM/0131/0107/45030020255</v>
      </c>
      <c r="AB538" s="125" t="s">
        <v>138</v>
      </c>
      <c r="AC538" s="250" t="s">
        <v>204</v>
      </c>
    </row>
    <row r="539" spans="2:29" s="28" customFormat="1" ht="56" x14ac:dyDescent="0.35">
      <c r="B539" s="77">
        <v>20250586</v>
      </c>
      <c r="C539" s="50" t="s">
        <v>208</v>
      </c>
      <c r="D539" s="246" t="s">
        <v>164</v>
      </c>
      <c r="E539" s="51" t="s">
        <v>389</v>
      </c>
      <c r="F539" s="246" t="s">
        <v>701</v>
      </c>
      <c r="G539" s="246" t="s">
        <v>155</v>
      </c>
      <c r="H539" s="93">
        <v>80111600</v>
      </c>
      <c r="I539" s="247">
        <v>2</v>
      </c>
      <c r="J539" s="247">
        <v>11</v>
      </c>
      <c r="K539" s="52">
        <v>0</v>
      </c>
      <c r="L539" s="53">
        <f>79450000-33550000</f>
        <v>45900000</v>
      </c>
      <c r="M539" s="246" t="s">
        <v>464</v>
      </c>
      <c r="N539" s="53" t="s">
        <v>113</v>
      </c>
      <c r="O539" s="51" t="s">
        <v>219</v>
      </c>
      <c r="P539" s="248" t="str">
        <f>IFERROR(VLOOKUP(C539,TD!$B$33:$F$37,2,0)," ")</f>
        <v>O230117</v>
      </c>
      <c r="Q539" s="248" t="str">
        <f>IFERROR(VLOOKUP(C539,TD!$B$33:$F$37,3,0)," ")</f>
        <v>4599</v>
      </c>
      <c r="R539" s="248">
        <f>IFERROR(VLOOKUP(C539,TD!$B$33:$F$37,4,0)," ")</f>
        <v>20240207</v>
      </c>
      <c r="S539" s="51" t="s">
        <v>185</v>
      </c>
      <c r="T539" s="248" t="str">
        <f>IFERROR(VLOOKUP(S539,TD!$J$34:$K$44,2,0)," ")</f>
        <v>Infraestructura física, mantenimiento y dotación (Sedes construidas, mantenidas reforzadas)</v>
      </c>
      <c r="U539" s="249" t="str">
        <f>CONCATENATE(S539,"-",T539)</f>
        <v>08-Infraestructura física, mantenimiento y dotación (Sedes construidas, mantenidas reforzadas)</v>
      </c>
      <c r="V539" s="51" t="s">
        <v>238</v>
      </c>
      <c r="W539" s="248" t="str">
        <f>IFERROR(VLOOKUP(V539,TD!$N$34:$O$46,2,0)," ")</f>
        <v>Sedes mantenidas</v>
      </c>
      <c r="X539" s="249" t="str">
        <f>CONCATENATE(V539,"_",W539)</f>
        <v>016_Sedes mantenidas</v>
      </c>
      <c r="Y539" s="249" t="str">
        <f>CONCATENATE(U539," ",X539)</f>
        <v>08-Infraestructura física, mantenimiento y dotación (Sedes construidas, mantenidas reforzadas) 016_Sedes mantenidas</v>
      </c>
      <c r="Z539" s="248" t="str">
        <f>CONCATENATE(P539,Q539,R539,S539,V539)</f>
        <v>O23011745992024020708016</v>
      </c>
      <c r="AA539" s="248" t="str">
        <f>IFERROR(VLOOKUP(Y539,TD!$K$47:$L$65,2,0)," ")</f>
        <v>PM/0131/0108/45990160207</v>
      </c>
      <c r="AB539" s="53" t="s">
        <v>120</v>
      </c>
      <c r="AC539" s="250" t="s">
        <v>204</v>
      </c>
    </row>
    <row r="540" spans="2:29" s="28" customFormat="1" ht="70" x14ac:dyDescent="0.35">
      <c r="B540" s="77">
        <v>20250587</v>
      </c>
      <c r="C540" s="50" t="s">
        <v>208</v>
      </c>
      <c r="D540" s="246" t="s">
        <v>164</v>
      </c>
      <c r="E540" s="51" t="s">
        <v>389</v>
      </c>
      <c r="F540" s="246" t="s">
        <v>703</v>
      </c>
      <c r="G540" s="246" t="s">
        <v>156</v>
      </c>
      <c r="H540" s="93">
        <v>80111600</v>
      </c>
      <c r="I540" s="247">
        <v>2</v>
      </c>
      <c r="J540" s="247">
        <v>4</v>
      </c>
      <c r="K540" s="52">
        <v>0</v>
      </c>
      <c r="L540" s="53">
        <v>25500000</v>
      </c>
      <c r="M540" s="246" t="s">
        <v>464</v>
      </c>
      <c r="N540" s="53" t="s">
        <v>113</v>
      </c>
      <c r="O540" s="51" t="s">
        <v>219</v>
      </c>
      <c r="P540" s="248" t="str">
        <f>IFERROR(VLOOKUP(C540,TD!$B$33:$F$37,2,0)," ")</f>
        <v>O230117</v>
      </c>
      <c r="Q540" s="248" t="str">
        <f>IFERROR(VLOOKUP(C540,TD!$B$33:$F$37,3,0)," ")</f>
        <v>4599</v>
      </c>
      <c r="R540" s="248">
        <f>IFERROR(VLOOKUP(C540,TD!$B$33:$F$37,4,0)," ")</f>
        <v>20240207</v>
      </c>
      <c r="S540" s="51" t="s">
        <v>185</v>
      </c>
      <c r="T540" s="248" t="str">
        <f>IFERROR(VLOOKUP(S540,TD!$J$34:$K$44,2,0)," ")</f>
        <v>Infraestructura física, mantenimiento y dotación (Sedes construidas, mantenidas reforzadas)</v>
      </c>
      <c r="U540" s="249" t="str">
        <f>CONCATENATE(S540,"-",T540)</f>
        <v>08-Infraestructura física, mantenimiento y dotación (Sedes construidas, mantenidas reforzadas)</v>
      </c>
      <c r="V540" s="51" t="s">
        <v>238</v>
      </c>
      <c r="W540" s="248" t="str">
        <f>IFERROR(VLOOKUP(V540,TD!$N$34:$O$46,2,0)," ")</f>
        <v>Sedes mantenidas</v>
      </c>
      <c r="X540" s="249" t="str">
        <f>CONCATENATE(V540,"_",W540)</f>
        <v>016_Sedes mantenidas</v>
      </c>
      <c r="Y540" s="249" t="str">
        <f>CONCATENATE(U540," ",X540)</f>
        <v>08-Infraestructura física, mantenimiento y dotación (Sedes construidas, mantenidas reforzadas) 016_Sedes mantenidas</v>
      </c>
      <c r="Z540" s="248" t="str">
        <f>CONCATENATE(P540,Q540,R540,S540,V540)</f>
        <v>O23011745992024020708016</v>
      </c>
      <c r="AA540" s="248" t="str">
        <f>IFERROR(VLOOKUP(Y540,TD!$K$47:$L$65,2,0)," ")</f>
        <v>PM/0131/0108/45990160207</v>
      </c>
      <c r="AB540" s="53" t="s">
        <v>120</v>
      </c>
      <c r="AC540" s="250" t="s">
        <v>204</v>
      </c>
    </row>
    <row r="541" spans="2:29" s="28" customFormat="1" ht="70" x14ac:dyDescent="0.35">
      <c r="B541" s="127">
        <v>20250588</v>
      </c>
      <c r="C541" s="50" t="s">
        <v>346</v>
      </c>
      <c r="D541" s="246" t="s">
        <v>166</v>
      </c>
      <c r="E541" s="51" t="s">
        <v>558</v>
      </c>
      <c r="F541" s="246" t="s">
        <v>729</v>
      </c>
      <c r="G541" s="246" t="s">
        <v>129</v>
      </c>
      <c r="H541" s="93" t="s">
        <v>629</v>
      </c>
      <c r="I541" s="247">
        <v>2</v>
      </c>
      <c r="J541" s="247">
        <v>0</v>
      </c>
      <c r="K541" s="52">
        <v>0</v>
      </c>
      <c r="L541" s="53">
        <v>5684125</v>
      </c>
      <c r="M541" s="246" t="s">
        <v>172</v>
      </c>
      <c r="N541" s="53" t="s">
        <v>90</v>
      </c>
      <c r="O541" s="51" t="s">
        <v>347</v>
      </c>
      <c r="P541" s="248" t="str">
        <f>IFERROR(VLOOKUP(C541,TD!$B$33:$F$37,2,0)," ")</f>
        <v>NA</v>
      </c>
      <c r="Q541" s="248" t="str">
        <f>IFERROR(VLOOKUP(C541,TD!$B$33:$F$37,3,0)," ")</f>
        <v>NA</v>
      </c>
      <c r="R541" s="248" t="str">
        <f>IFERROR(VLOOKUP(C541,TD!$B$33:$F$37,4,0)," ")</f>
        <v>NA</v>
      </c>
      <c r="S541" s="51" t="s">
        <v>406</v>
      </c>
      <c r="T541" s="248" t="str">
        <f>IFERROR(VLOOKUP(S541,TD!$J$34:$K$44,2,0)," ")</f>
        <v>N/A</v>
      </c>
      <c r="U541" s="249" t="str">
        <f>CONCATENATE(S541,"-",T541)</f>
        <v>N/A-N/A</v>
      </c>
      <c r="V541" s="51" t="s">
        <v>406</v>
      </c>
      <c r="W541" s="248" t="str">
        <f>IFERROR(VLOOKUP(V541,TD!$N$34:$O$46,2,0)," ")</f>
        <v>N/A</v>
      </c>
      <c r="X541" s="249" t="str">
        <f>CONCATENATE(V541,"_",W541)</f>
        <v>N/A_N/A</v>
      </c>
      <c r="Y541" s="249" t="str">
        <f>CONCATENATE(U541," ",X541)</f>
        <v>N/A-N/A N/A_N/A</v>
      </c>
      <c r="Z541" s="248" t="str">
        <f>CONCATENATE(P541,Q541,R541,S541,V541)</f>
        <v>NANANAN/AN/A</v>
      </c>
      <c r="AA541" s="248" t="str">
        <f>IFERROR(VLOOKUP(Y541,TD!$K$47:$L$65,2,0)," ")</f>
        <v>N/A</v>
      </c>
      <c r="AB541" s="53" t="s">
        <v>348</v>
      </c>
      <c r="AC541" s="250" t="s">
        <v>205</v>
      </c>
    </row>
    <row r="542" spans="2:29" s="28" customFormat="1" ht="70" x14ac:dyDescent="0.35">
      <c r="B542" s="77">
        <v>20250590</v>
      </c>
      <c r="C542" s="50" t="s">
        <v>208</v>
      </c>
      <c r="D542" s="246" t="s">
        <v>166</v>
      </c>
      <c r="E542" s="51" t="s">
        <v>558</v>
      </c>
      <c r="F542" s="246" t="s">
        <v>561</v>
      </c>
      <c r="G542" s="246" t="s">
        <v>156</v>
      </c>
      <c r="H542" s="93" t="s">
        <v>606</v>
      </c>
      <c r="I542" s="247">
        <v>2</v>
      </c>
      <c r="J542" s="247">
        <v>9</v>
      </c>
      <c r="K542" s="52">
        <v>0</v>
      </c>
      <c r="L542" s="53">
        <v>29558952</v>
      </c>
      <c r="M542" s="246" t="s">
        <v>464</v>
      </c>
      <c r="N542" s="53" t="s">
        <v>113</v>
      </c>
      <c r="O542" s="51" t="s">
        <v>219</v>
      </c>
      <c r="P542" s="248" t="str">
        <f>IFERROR(VLOOKUP(C542,TD!$B$33:$F$37,2,0)," ")</f>
        <v>O230117</v>
      </c>
      <c r="Q542" s="248" t="str">
        <f>IFERROR(VLOOKUP(C542,TD!$B$33:$F$37,3,0)," ")</f>
        <v>4599</v>
      </c>
      <c r="R542" s="248">
        <f>IFERROR(VLOOKUP(C542,TD!$B$33:$F$37,4,0)," ")</f>
        <v>20240207</v>
      </c>
      <c r="S542" s="51" t="s">
        <v>185</v>
      </c>
      <c r="T542" s="248" t="str">
        <f>IFERROR(VLOOKUP(S542,TD!$J$34:$K$44,2,0)," ")</f>
        <v>Infraestructura física, mantenimiento y dotación (Sedes construidas, mantenidas reforzadas)</v>
      </c>
      <c r="U542" s="249" t="str">
        <f>CONCATENATE(S542,"-",T542)</f>
        <v>08-Infraestructura física, mantenimiento y dotación (Sedes construidas, mantenidas reforzadas)</v>
      </c>
      <c r="V542" s="51" t="s">
        <v>238</v>
      </c>
      <c r="W542" s="248" t="str">
        <f>IFERROR(VLOOKUP(V542,TD!$N$34:$O$46,2,0)," ")</f>
        <v>Sedes mantenidas</v>
      </c>
      <c r="X542" s="249" t="str">
        <f>CONCATENATE(V542,"_",W542)</f>
        <v>016_Sedes mantenidas</v>
      </c>
      <c r="Y542" s="249" t="str">
        <f>CONCATENATE(U542," ",X542)</f>
        <v>08-Infraestructura física, mantenimiento y dotación (Sedes construidas, mantenidas reforzadas) 016_Sedes mantenidas</v>
      </c>
      <c r="Z542" s="248" t="str">
        <f>CONCATENATE(P542,Q542,R542,S542,V542)</f>
        <v>O23011745992024020708016</v>
      </c>
      <c r="AA542" s="248" t="str">
        <f>IFERROR(VLOOKUP(Y542,TD!$K$47:$L$65,2,0)," ")</f>
        <v>PM/0131/0108/45990160207</v>
      </c>
      <c r="AB542" s="53" t="s">
        <v>138</v>
      </c>
      <c r="AC542" s="250" t="s">
        <v>204</v>
      </c>
    </row>
    <row r="543" spans="2:29" s="28" customFormat="1" ht="56" x14ac:dyDescent="0.35">
      <c r="B543" s="77">
        <v>20250592</v>
      </c>
      <c r="C543" s="50" t="s">
        <v>208</v>
      </c>
      <c r="D543" s="257" t="s">
        <v>166</v>
      </c>
      <c r="E543" s="51" t="s">
        <v>558</v>
      </c>
      <c r="F543" s="246" t="s">
        <v>561</v>
      </c>
      <c r="G543" s="246" t="s">
        <v>156</v>
      </c>
      <c r="H543" s="93" t="s">
        <v>606</v>
      </c>
      <c r="I543" s="247">
        <v>2</v>
      </c>
      <c r="J543" s="247">
        <v>9</v>
      </c>
      <c r="K543" s="52">
        <v>0</v>
      </c>
      <c r="L543" s="53">
        <v>29558952</v>
      </c>
      <c r="M543" s="136" t="s">
        <v>464</v>
      </c>
      <c r="N543" s="53" t="s">
        <v>113</v>
      </c>
      <c r="O543" s="51" t="s">
        <v>219</v>
      </c>
      <c r="P543" s="248" t="str">
        <f>IFERROR(VLOOKUP(C543,TD!$B$33:$F$37,2,0)," ")</f>
        <v>O230117</v>
      </c>
      <c r="Q543" s="248" t="str">
        <f>IFERROR(VLOOKUP(C543,TD!$B$33:$F$37,3,0)," ")</f>
        <v>4599</v>
      </c>
      <c r="R543" s="248">
        <f>IFERROR(VLOOKUP(C543,TD!$B$33:$F$37,4,0)," ")</f>
        <v>20240207</v>
      </c>
      <c r="S543" s="51" t="s">
        <v>185</v>
      </c>
      <c r="T543" s="248" t="str">
        <f>IFERROR(VLOOKUP(S543,TD!$J$34:$K$44,2,0)," ")</f>
        <v>Infraestructura física, mantenimiento y dotación (Sedes construidas, mantenidas reforzadas)</v>
      </c>
      <c r="U543" s="249" t="str">
        <f>CONCATENATE(S543,"-",T543)</f>
        <v>08-Infraestructura física, mantenimiento y dotación (Sedes construidas, mantenidas reforzadas)</v>
      </c>
      <c r="V543" s="51" t="s">
        <v>238</v>
      </c>
      <c r="W543" s="248" t="str">
        <f>IFERROR(VLOOKUP(V543,TD!$N$34:$O$46,2,0)," ")</f>
        <v>Sedes mantenidas</v>
      </c>
      <c r="X543" s="249" t="str">
        <f>CONCATENATE(V543,"_",W543)</f>
        <v>016_Sedes mantenidas</v>
      </c>
      <c r="Y543" s="249" t="str">
        <f>CONCATENATE(U543," ",X543)</f>
        <v>08-Infraestructura física, mantenimiento y dotación (Sedes construidas, mantenidas reforzadas) 016_Sedes mantenidas</v>
      </c>
      <c r="Z543" s="248" t="str">
        <f>CONCATENATE(P543,Q543,R543,S543,V543)</f>
        <v>O23011745992024020708016</v>
      </c>
      <c r="AA543" s="248" t="str">
        <f>IFERROR(VLOOKUP(Y543,TD!$K$47:$L$65,2,0)," ")</f>
        <v>PM/0131/0108/45990160207</v>
      </c>
      <c r="AB543" s="53" t="s">
        <v>138</v>
      </c>
      <c r="AC543" s="250" t="s">
        <v>204</v>
      </c>
    </row>
    <row r="544" spans="2:29" s="28" customFormat="1" ht="56" x14ac:dyDescent="0.35">
      <c r="B544" s="77">
        <v>20250593</v>
      </c>
      <c r="C544" s="50" t="s">
        <v>208</v>
      </c>
      <c r="D544" s="246" t="s">
        <v>166</v>
      </c>
      <c r="E544" s="51" t="s">
        <v>558</v>
      </c>
      <c r="F544" s="246" t="s">
        <v>561</v>
      </c>
      <c r="G544" s="246" t="s">
        <v>156</v>
      </c>
      <c r="H544" s="93" t="s">
        <v>606</v>
      </c>
      <c r="I544" s="247">
        <v>2</v>
      </c>
      <c r="J544" s="247">
        <v>9</v>
      </c>
      <c r="K544" s="52">
        <v>0</v>
      </c>
      <c r="L544" s="53">
        <v>29558952</v>
      </c>
      <c r="M544" s="246" t="s">
        <v>464</v>
      </c>
      <c r="N544" s="53" t="s">
        <v>113</v>
      </c>
      <c r="O544" s="51" t="s">
        <v>219</v>
      </c>
      <c r="P544" s="248" t="str">
        <f>IFERROR(VLOOKUP(C544,TD!$B$33:$F$37,2,0)," ")</f>
        <v>O230117</v>
      </c>
      <c r="Q544" s="248" t="str">
        <f>IFERROR(VLOOKUP(C544,TD!$B$33:$F$37,3,0)," ")</f>
        <v>4599</v>
      </c>
      <c r="R544" s="248">
        <f>IFERROR(VLOOKUP(C544,TD!$B$33:$F$37,4,0)," ")</f>
        <v>20240207</v>
      </c>
      <c r="S544" s="51" t="s">
        <v>185</v>
      </c>
      <c r="T544" s="248" t="str">
        <f>IFERROR(VLOOKUP(S544,TD!$J$34:$K$44,2,0)," ")</f>
        <v>Infraestructura física, mantenimiento y dotación (Sedes construidas, mantenidas reforzadas)</v>
      </c>
      <c r="U544" s="249" t="str">
        <f>CONCATENATE(S544,"-",T544)</f>
        <v>08-Infraestructura física, mantenimiento y dotación (Sedes construidas, mantenidas reforzadas)</v>
      </c>
      <c r="V544" s="51" t="s">
        <v>238</v>
      </c>
      <c r="W544" s="248" t="str">
        <f>IFERROR(VLOOKUP(V544,TD!$N$34:$O$46,2,0)," ")</f>
        <v>Sedes mantenidas</v>
      </c>
      <c r="X544" s="249" t="str">
        <f>CONCATENATE(V544,"_",W544)</f>
        <v>016_Sedes mantenidas</v>
      </c>
      <c r="Y544" s="249" t="str">
        <f>CONCATENATE(U544," ",X544)</f>
        <v>08-Infraestructura física, mantenimiento y dotación (Sedes construidas, mantenidas reforzadas) 016_Sedes mantenidas</v>
      </c>
      <c r="Z544" s="248" t="str">
        <f>CONCATENATE(P544,Q544,R544,S544,V544)</f>
        <v>O23011745992024020708016</v>
      </c>
      <c r="AA544" s="248" t="str">
        <f>IFERROR(VLOOKUP(Y544,TD!$K$47:$L$65,2,0)," ")</f>
        <v>PM/0131/0108/45990160207</v>
      </c>
      <c r="AB544" s="53" t="s">
        <v>138</v>
      </c>
      <c r="AC544" s="250" t="s">
        <v>204</v>
      </c>
    </row>
    <row r="545" spans="2:29" s="28" customFormat="1" ht="56" x14ac:dyDescent="0.35">
      <c r="B545" s="77">
        <v>20250594</v>
      </c>
      <c r="C545" s="50" t="s">
        <v>208</v>
      </c>
      <c r="D545" s="246" t="s">
        <v>166</v>
      </c>
      <c r="E545" s="51" t="s">
        <v>558</v>
      </c>
      <c r="F545" s="246" t="s">
        <v>561</v>
      </c>
      <c r="G545" s="246" t="s">
        <v>156</v>
      </c>
      <c r="H545" s="93" t="s">
        <v>606</v>
      </c>
      <c r="I545" s="247">
        <v>2</v>
      </c>
      <c r="J545" s="247">
        <v>9</v>
      </c>
      <c r="K545" s="52">
        <v>0</v>
      </c>
      <c r="L545" s="53">
        <v>29558952</v>
      </c>
      <c r="M545" s="246" t="s">
        <v>464</v>
      </c>
      <c r="N545" s="53" t="s">
        <v>113</v>
      </c>
      <c r="O545" s="51" t="s">
        <v>219</v>
      </c>
      <c r="P545" s="248" t="str">
        <f>IFERROR(VLOOKUP(C545,TD!$B$33:$F$37,2,0)," ")</f>
        <v>O230117</v>
      </c>
      <c r="Q545" s="248" t="str">
        <f>IFERROR(VLOOKUP(C545,TD!$B$33:$F$37,3,0)," ")</f>
        <v>4599</v>
      </c>
      <c r="R545" s="248">
        <f>IFERROR(VLOOKUP(C545,TD!$B$33:$F$37,4,0)," ")</f>
        <v>20240207</v>
      </c>
      <c r="S545" s="51" t="s">
        <v>185</v>
      </c>
      <c r="T545" s="248" t="str">
        <f>IFERROR(VLOOKUP(S545,TD!$J$34:$K$44,2,0)," ")</f>
        <v>Infraestructura física, mantenimiento y dotación (Sedes construidas, mantenidas reforzadas)</v>
      </c>
      <c r="U545" s="249" t="str">
        <f>CONCATENATE(S545,"-",T545)</f>
        <v>08-Infraestructura física, mantenimiento y dotación (Sedes construidas, mantenidas reforzadas)</v>
      </c>
      <c r="V545" s="51" t="s">
        <v>238</v>
      </c>
      <c r="W545" s="248" t="str">
        <f>IFERROR(VLOOKUP(V545,TD!$N$34:$O$46,2,0)," ")</f>
        <v>Sedes mantenidas</v>
      </c>
      <c r="X545" s="249" t="str">
        <f>CONCATENATE(V545,"_",W545)</f>
        <v>016_Sedes mantenidas</v>
      </c>
      <c r="Y545" s="249" t="str">
        <f>CONCATENATE(U545," ",X545)</f>
        <v>08-Infraestructura física, mantenimiento y dotación (Sedes construidas, mantenidas reforzadas) 016_Sedes mantenidas</v>
      </c>
      <c r="Z545" s="248" t="str">
        <f>CONCATENATE(P545,Q545,R545,S545,V545)</f>
        <v>O23011745992024020708016</v>
      </c>
      <c r="AA545" s="248" t="str">
        <f>IFERROR(VLOOKUP(Y545,TD!$K$47:$L$65,2,0)," ")</f>
        <v>PM/0131/0108/45990160207</v>
      </c>
      <c r="AB545" s="53" t="s">
        <v>138</v>
      </c>
      <c r="AC545" s="250" t="s">
        <v>204</v>
      </c>
    </row>
    <row r="546" spans="2:29" s="28" customFormat="1" ht="84" x14ac:dyDescent="0.35">
      <c r="B546" s="77">
        <v>20250596</v>
      </c>
      <c r="C546" s="50" t="s">
        <v>208</v>
      </c>
      <c r="D546" s="246" t="s">
        <v>166</v>
      </c>
      <c r="E546" s="51" t="s">
        <v>558</v>
      </c>
      <c r="F546" s="246" t="s">
        <v>578</v>
      </c>
      <c r="G546" s="246" t="s">
        <v>156</v>
      </c>
      <c r="H546" s="93" t="s">
        <v>606</v>
      </c>
      <c r="I546" s="247">
        <v>2</v>
      </c>
      <c r="J546" s="247">
        <v>9</v>
      </c>
      <c r="K546" s="52">
        <v>0</v>
      </c>
      <c r="L546" s="53">
        <v>29558952</v>
      </c>
      <c r="M546" s="246" t="s">
        <v>464</v>
      </c>
      <c r="N546" s="53" t="s">
        <v>113</v>
      </c>
      <c r="O546" s="51" t="s">
        <v>218</v>
      </c>
      <c r="P546" s="248" t="str">
        <f>IFERROR(VLOOKUP(C546,TD!$B$33:$F$37,2,0)," ")</f>
        <v>O230117</v>
      </c>
      <c r="Q546" s="248" t="str">
        <f>IFERROR(VLOOKUP(C546,TD!$B$33:$F$37,3,0)," ")</f>
        <v>4599</v>
      </c>
      <c r="R546" s="248">
        <f>IFERROR(VLOOKUP(C546,TD!$B$33:$F$37,4,0)," ")</f>
        <v>20240207</v>
      </c>
      <c r="S546" s="51" t="s">
        <v>185</v>
      </c>
      <c r="T546" s="248" t="str">
        <f>IFERROR(VLOOKUP(S546,TD!$J$34:$K$44,2,0)," ")</f>
        <v>Infraestructura física, mantenimiento y dotación (Sedes construidas, mantenidas reforzadas)</v>
      </c>
      <c r="U546" s="249" t="str">
        <f>CONCATENATE(S546,"-",T546)</f>
        <v>08-Infraestructura física, mantenimiento y dotación (Sedes construidas, mantenidas reforzadas)</v>
      </c>
      <c r="V546" s="51" t="s">
        <v>238</v>
      </c>
      <c r="W546" s="248" t="str">
        <f>IFERROR(VLOOKUP(V546,TD!$N$34:$O$46,2,0)," ")</f>
        <v>Sedes mantenidas</v>
      </c>
      <c r="X546" s="249" t="str">
        <f>CONCATENATE(V546,"_",W546)</f>
        <v>016_Sedes mantenidas</v>
      </c>
      <c r="Y546" s="249" t="str">
        <f>CONCATENATE(U546," ",X546)</f>
        <v>08-Infraestructura física, mantenimiento y dotación (Sedes construidas, mantenidas reforzadas) 016_Sedes mantenidas</v>
      </c>
      <c r="Z546" s="248" t="str">
        <f>CONCATENATE(P546,Q546,R546,S546,V546)</f>
        <v>O23011745992024020708016</v>
      </c>
      <c r="AA546" s="248" t="str">
        <f>IFERROR(VLOOKUP(Y546,TD!$K$47:$L$65,2,0)," ")</f>
        <v>PM/0131/0108/45990160207</v>
      </c>
      <c r="AB546" s="53" t="s">
        <v>138</v>
      </c>
      <c r="AC546" s="250" t="s">
        <v>204</v>
      </c>
    </row>
    <row r="547" spans="2:29" s="28" customFormat="1" ht="42" x14ac:dyDescent="0.35">
      <c r="B547" s="77">
        <v>20250597</v>
      </c>
      <c r="C547" s="50" t="s">
        <v>208</v>
      </c>
      <c r="D547" s="246" t="s">
        <v>166</v>
      </c>
      <c r="E547" s="51" t="s">
        <v>558</v>
      </c>
      <c r="F547" s="246" t="s">
        <v>578</v>
      </c>
      <c r="G547" s="246" t="s">
        <v>156</v>
      </c>
      <c r="H547" s="93" t="s">
        <v>606</v>
      </c>
      <c r="I547" s="247">
        <v>2</v>
      </c>
      <c r="J547" s="247">
        <v>9</v>
      </c>
      <c r="K547" s="52">
        <v>0</v>
      </c>
      <c r="L547" s="53">
        <v>29558952</v>
      </c>
      <c r="M547" s="246" t="s">
        <v>464</v>
      </c>
      <c r="N547" s="53" t="s">
        <v>113</v>
      </c>
      <c r="O547" s="51" t="s">
        <v>218</v>
      </c>
      <c r="P547" s="248" t="str">
        <f>IFERROR(VLOOKUP(C547,TD!$B$33:$F$37,2,0)," ")</f>
        <v>O230117</v>
      </c>
      <c r="Q547" s="248" t="str">
        <f>IFERROR(VLOOKUP(C547,TD!$B$33:$F$37,3,0)," ")</f>
        <v>4599</v>
      </c>
      <c r="R547" s="248">
        <f>IFERROR(VLOOKUP(C547,TD!$B$33:$F$37,4,0)," ")</f>
        <v>20240207</v>
      </c>
      <c r="S547" s="51" t="s">
        <v>185</v>
      </c>
      <c r="T547" s="248" t="str">
        <f>IFERROR(VLOOKUP(S547,TD!$J$34:$K$44,2,0)," ")</f>
        <v>Infraestructura física, mantenimiento y dotación (Sedes construidas, mantenidas reforzadas)</v>
      </c>
      <c r="U547" s="249" t="str">
        <f>CONCATENATE(S547,"-",T547)</f>
        <v>08-Infraestructura física, mantenimiento y dotación (Sedes construidas, mantenidas reforzadas)</v>
      </c>
      <c r="V547" s="51" t="s">
        <v>238</v>
      </c>
      <c r="W547" s="248" t="str">
        <f>IFERROR(VLOOKUP(V547,TD!$N$34:$O$46,2,0)," ")</f>
        <v>Sedes mantenidas</v>
      </c>
      <c r="X547" s="249" t="str">
        <f>CONCATENATE(V547,"_",W547)</f>
        <v>016_Sedes mantenidas</v>
      </c>
      <c r="Y547" s="249" t="str">
        <f>CONCATENATE(U547," ",X547)</f>
        <v>08-Infraestructura física, mantenimiento y dotación (Sedes construidas, mantenidas reforzadas) 016_Sedes mantenidas</v>
      </c>
      <c r="Z547" s="248" t="str">
        <f>CONCATENATE(P547,Q547,R547,S547,V547)</f>
        <v>O23011745992024020708016</v>
      </c>
      <c r="AA547" s="248" t="str">
        <f>IFERROR(VLOOKUP(Y547,TD!$K$47:$L$65,2,0)," ")</f>
        <v>PM/0131/0108/45990160207</v>
      </c>
      <c r="AB547" s="53" t="s">
        <v>138</v>
      </c>
      <c r="AC547" s="250" t="s">
        <v>204</v>
      </c>
    </row>
    <row r="548" spans="2:29" s="28" customFormat="1" ht="42" x14ac:dyDescent="0.35">
      <c r="B548" s="77">
        <v>20250598</v>
      </c>
      <c r="C548" s="50" t="s">
        <v>208</v>
      </c>
      <c r="D548" s="246" t="s">
        <v>166</v>
      </c>
      <c r="E548" s="51" t="s">
        <v>558</v>
      </c>
      <c r="F548" s="246" t="s">
        <v>578</v>
      </c>
      <c r="G548" s="246" t="s">
        <v>156</v>
      </c>
      <c r="H548" s="93" t="s">
        <v>606</v>
      </c>
      <c r="I548" s="247">
        <v>2</v>
      </c>
      <c r="J548" s="247">
        <v>9</v>
      </c>
      <c r="K548" s="52">
        <v>0</v>
      </c>
      <c r="L548" s="53">
        <v>29558952</v>
      </c>
      <c r="M548" s="246" t="s">
        <v>464</v>
      </c>
      <c r="N548" s="53" t="s">
        <v>113</v>
      </c>
      <c r="O548" s="51" t="s">
        <v>218</v>
      </c>
      <c r="P548" s="248" t="str">
        <f>IFERROR(VLOOKUP(C548,TD!$B$33:$F$37,2,0)," ")</f>
        <v>O230117</v>
      </c>
      <c r="Q548" s="248" t="str">
        <f>IFERROR(VLOOKUP(C548,TD!$B$33:$F$37,3,0)," ")</f>
        <v>4599</v>
      </c>
      <c r="R548" s="248">
        <f>IFERROR(VLOOKUP(C548,TD!$B$33:$F$37,4,0)," ")</f>
        <v>20240207</v>
      </c>
      <c r="S548" s="51" t="s">
        <v>185</v>
      </c>
      <c r="T548" s="248" t="str">
        <f>IFERROR(VLOOKUP(S548,TD!$J$34:$K$44,2,0)," ")</f>
        <v>Infraestructura física, mantenimiento y dotación (Sedes construidas, mantenidas reforzadas)</v>
      </c>
      <c r="U548" s="249" t="str">
        <f>CONCATENATE(S548,"-",T548)</f>
        <v>08-Infraestructura física, mantenimiento y dotación (Sedes construidas, mantenidas reforzadas)</v>
      </c>
      <c r="V548" s="51" t="s">
        <v>238</v>
      </c>
      <c r="W548" s="248" t="str">
        <f>IFERROR(VLOOKUP(V548,TD!$N$34:$O$46,2,0)," ")</f>
        <v>Sedes mantenidas</v>
      </c>
      <c r="X548" s="249" t="str">
        <f>CONCATENATE(V548,"_",W548)</f>
        <v>016_Sedes mantenidas</v>
      </c>
      <c r="Y548" s="249" t="str">
        <f>CONCATENATE(U548," ",X548)</f>
        <v>08-Infraestructura física, mantenimiento y dotación (Sedes construidas, mantenidas reforzadas) 016_Sedes mantenidas</v>
      </c>
      <c r="Z548" s="248" t="str">
        <f>CONCATENATE(P548,Q548,R548,S548,V548)</f>
        <v>O23011745992024020708016</v>
      </c>
      <c r="AA548" s="248" t="str">
        <f>IFERROR(VLOOKUP(Y548,TD!$K$47:$L$65,2,0)," ")</f>
        <v>PM/0131/0108/45990160207</v>
      </c>
      <c r="AB548" s="53" t="s">
        <v>138</v>
      </c>
      <c r="AC548" s="250" t="s">
        <v>204</v>
      </c>
    </row>
    <row r="549" spans="2:29" s="28" customFormat="1" ht="42" x14ac:dyDescent="0.35">
      <c r="B549" s="127">
        <v>20250601</v>
      </c>
      <c r="C549" s="129" t="s">
        <v>208</v>
      </c>
      <c r="D549" s="251" t="s">
        <v>166</v>
      </c>
      <c r="E549" s="252" t="s">
        <v>558</v>
      </c>
      <c r="F549" s="251" t="s">
        <v>715</v>
      </c>
      <c r="G549" s="251" t="s">
        <v>155</v>
      </c>
      <c r="H549" s="130" t="s">
        <v>606</v>
      </c>
      <c r="I549" s="253">
        <v>2</v>
      </c>
      <c r="J549" s="253">
        <v>9</v>
      </c>
      <c r="K549" s="126">
        <v>0</v>
      </c>
      <c r="L549" s="125">
        <v>91156860</v>
      </c>
      <c r="M549" s="251" t="s">
        <v>464</v>
      </c>
      <c r="N549" s="125" t="s">
        <v>113</v>
      </c>
      <c r="O549" s="252" t="s">
        <v>219</v>
      </c>
      <c r="P549" s="254" t="str">
        <f>IFERROR(VLOOKUP(C549,TD!$B$33:$F$37,2,0)," ")</f>
        <v>O230117</v>
      </c>
      <c r="Q549" s="254" t="str">
        <f>IFERROR(VLOOKUP(C549,TD!$B$33:$F$37,3,0)," ")</f>
        <v>4599</v>
      </c>
      <c r="R549" s="254">
        <f>IFERROR(VLOOKUP(C549,TD!$B$33:$F$37,4,0)," ")</f>
        <v>20240207</v>
      </c>
      <c r="S549" s="252" t="s">
        <v>185</v>
      </c>
      <c r="T549" s="254" t="str">
        <f>IFERROR(VLOOKUP(S549,TD!$J$34:$K$44,2,0)," ")</f>
        <v>Infraestructura física, mantenimiento y dotación (Sedes construidas, mantenidas reforzadas)</v>
      </c>
      <c r="U549" s="249" t="str">
        <f>CONCATENATE(S549,"-",T549)</f>
        <v>08-Infraestructura física, mantenimiento y dotación (Sedes construidas, mantenidas reforzadas)</v>
      </c>
      <c r="V549" s="252" t="s">
        <v>238</v>
      </c>
      <c r="W549" s="254" t="str">
        <f>IFERROR(VLOOKUP(V549,TD!$N$34:$O$46,2,0)," ")</f>
        <v>Sedes mantenidas</v>
      </c>
      <c r="X549" s="249" t="str">
        <f>CONCATENATE(V549,"_",W549)</f>
        <v>016_Sedes mantenidas</v>
      </c>
      <c r="Y549" s="249" t="str">
        <f>CONCATENATE(U549," ",X549)</f>
        <v>08-Infraestructura física, mantenimiento y dotación (Sedes construidas, mantenidas reforzadas) 016_Sedes mantenidas</v>
      </c>
      <c r="Z549" s="254" t="str">
        <f>CONCATENATE(P549,Q549,R549,S549,V549)</f>
        <v>O23011745992024020708016</v>
      </c>
      <c r="AA549" s="254" t="str">
        <f>IFERROR(VLOOKUP(Y549,TD!$K$47:$L$65,2,0)," ")</f>
        <v>PM/0131/0108/45990160207</v>
      </c>
      <c r="AB549" s="125" t="s">
        <v>138</v>
      </c>
      <c r="AC549" s="255" t="s">
        <v>204</v>
      </c>
    </row>
    <row r="550" spans="2:29" s="28" customFormat="1" ht="42" x14ac:dyDescent="0.35">
      <c r="B550" s="127">
        <v>20250602</v>
      </c>
      <c r="C550" s="129" t="s">
        <v>208</v>
      </c>
      <c r="D550" s="251" t="s">
        <v>166</v>
      </c>
      <c r="E550" s="252" t="s">
        <v>558</v>
      </c>
      <c r="F550" s="251" t="s">
        <v>845</v>
      </c>
      <c r="G550" s="251" t="s">
        <v>155</v>
      </c>
      <c r="H550" s="130" t="s">
        <v>606</v>
      </c>
      <c r="I550" s="253">
        <v>2</v>
      </c>
      <c r="J550" s="253">
        <v>9</v>
      </c>
      <c r="K550" s="126">
        <v>0</v>
      </c>
      <c r="L550" s="125">
        <v>41288696</v>
      </c>
      <c r="M550" s="251" t="s">
        <v>464</v>
      </c>
      <c r="N550" s="125" t="s">
        <v>113</v>
      </c>
      <c r="O550" s="252" t="s">
        <v>219</v>
      </c>
      <c r="P550" s="254" t="str">
        <f>IFERROR(VLOOKUP(C550,TD!$B$33:$F$37,2,0)," ")</f>
        <v>O230117</v>
      </c>
      <c r="Q550" s="254" t="str">
        <f>IFERROR(VLOOKUP(C550,TD!$B$33:$F$37,3,0)," ")</f>
        <v>4599</v>
      </c>
      <c r="R550" s="254">
        <f>IFERROR(VLOOKUP(C550,TD!$B$33:$F$37,4,0)," ")</f>
        <v>20240207</v>
      </c>
      <c r="S550" s="252" t="s">
        <v>185</v>
      </c>
      <c r="T550" s="254" t="str">
        <f>IFERROR(VLOOKUP(S550,TD!$J$34:$K$44,2,0)," ")</f>
        <v>Infraestructura física, mantenimiento y dotación (Sedes construidas, mantenidas reforzadas)</v>
      </c>
      <c r="U550" s="249" t="str">
        <f>CONCATENATE(S550,"-",T550)</f>
        <v>08-Infraestructura física, mantenimiento y dotación (Sedes construidas, mantenidas reforzadas)</v>
      </c>
      <c r="V550" s="252" t="s">
        <v>238</v>
      </c>
      <c r="W550" s="254" t="str">
        <f>IFERROR(VLOOKUP(V550,TD!$N$34:$O$46,2,0)," ")</f>
        <v>Sedes mantenidas</v>
      </c>
      <c r="X550" s="249" t="str">
        <f>CONCATENATE(V550,"_",W550)</f>
        <v>016_Sedes mantenidas</v>
      </c>
      <c r="Y550" s="249" t="str">
        <f>CONCATENATE(U550," ",X550)</f>
        <v>08-Infraestructura física, mantenimiento y dotación (Sedes construidas, mantenidas reforzadas) 016_Sedes mantenidas</v>
      </c>
      <c r="Z550" s="254" t="str">
        <f>CONCATENATE(P550,Q550,R550,S550,V550)</f>
        <v>O23011745992024020708016</v>
      </c>
      <c r="AA550" s="254" t="str">
        <f>IFERROR(VLOOKUP(Y550,TD!$K$47:$L$65,2,0)," ")</f>
        <v>PM/0131/0108/45990160207</v>
      </c>
      <c r="AB550" s="125" t="s">
        <v>138</v>
      </c>
      <c r="AC550" s="255" t="s">
        <v>204</v>
      </c>
    </row>
    <row r="551" spans="2:29" s="28" customFormat="1" ht="42" x14ac:dyDescent="0.35">
      <c r="B551" s="127">
        <v>20250603</v>
      </c>
      <c r="C551" s="129" t="s">
        <v>346</v>
      </c>
      <c r="D551" s="251" t="s">
        <v>166</v>
      </c>
      <c r="E551" s="252" t="s">
        <v>558</v>
      </c>
      <c r="F551" s="251" t="s">
        <v>714</v>
      </c>
      <c r="G551" s="251" t="s">
        <v>142</v>
      </c>
      <c r="H551" s="130">
        <v>84131515</v>
      </c>
      <c r="I551" s="253">
        <v>2</v>
      </c>
      <c r="J551" s="253">
        <v>12</v>
      </c>
      <c r="K551" s="126">
        <v>0</v>
      </c>
      <c r="L551" s="125">
        <v>500000000</v>
      </c>
      <c r="M551" s="251" t="s">
        <v>172</v>
      </c>
      <c r="N551" s="125" t="s">
        <v>90</v>
      </c>
      <c r="O551" s="252" t="s">
        <v>347</v>
      </c>
      <c r="P551" s="254" t="str">
        <f>IFERROR(VLOOKUP(C551,TD!$B$33:$F$37,2,0)," ")</f>
        <v>NA</v>
      </c>
      <c r="Q551" s="254" t="str">
        <f>IFERROR(VLOOKUP(C551,TD!$B$33:$F$37,3,0)," ")</f>
        <v>NA</v>
      </c>
      <c r="R551" s="254" t="str">
        <f>IFERROR(VLOOKUP(C551,TD!$B$33:$F$37,4,0)," ")</f>
        <v>NA</v>
      </c>
      <c r="S551" s="252" t="s">
        <v>406</v>
      </c>
      <c r="T551" s="254" t="str">
        <f>IFERROR(VLOOKUP(S551,TD!$J$34:$K$44,2,0)," ")</f>
        <v>N/A</v>
      </c>
      <c r="U551" s="249" t="str">
        <f>CONCATENATE(S551,"-",T551)</f>
        <v>N/A-N/A</v>
      </c>
      <c r="V551" s="252" t="s">
        <v>406</v>
      </c>
      <c r="W551" s="254" t="str">
        <f>IFERROR(VLOOKUP(V551,TD!$N$34:$O$46,2,0)," ")</f>
        <v>N/A</v>
      </c>
      <c r="X551" s="249" t="str">
        <f>CONCATENATE(V551,"_",W551)</f>
        <v>N/A_N/A</v>
      </c>
      <c r="Y551" s="249" t="str">
        <f>CONCATENATE(U551," ",X551)</f>
        <v>N/A-N/A N/A_N/A</v>
      </c>
      <c r="Z551" s="254" t="str">
        <f>CONCATENATE(P551,Q551,R551,S551,V551)</f>
        <v>NANANAN/AN/A</v>
      </c>
      <c r="AA551" s="254" t="str">
        <f>IFERROR(VLOOKUP(Y551,TD!$K$47:$L$65,2,0)," ")</f>
        <v>N/A</v>
      </c>
      <c r="AB551" s="125" t="s">
        <v>348</v>
      </c>
      <c r="AC551" s="255" t="s">
        <v>204</v>
      </c>
    </row>
    <row r="552" spans="2:29" s="28" customFormat="1" ht="42" x14ac:dyDescent="0.35">
      <c r="B552" s="77">
        <v>20250604</v>
      </c>
      <c r="C552" s="50" t="s">
        <v>209</v>
      </c>
      <c r="D552" s="246" t="s">
        <v>168</v>
      </c>
      <c r="E552" s="51" t="s">
        <v>600</v>
      </c>
      <c r="F552" s="246" t="s">
        <v>816</v>
      </c>
      <c r="G552" s="246" t="s">
        <v>96</v>
      </c>
      <c r="H552" s="93">
        <v>46161600</v>
      </c>
      <c r="I552" s="247">
        <v>2</v>
      </c>
      <c r="J552" s="247">
        <v>3</v>
      </c>
      <c r="K552" s="52">
        <v>0</v>
      </c>
      <c r="L552" s="53">
        <v>25366600</v>
      </c>
      <c r="M552" s="246" t="s">
        <v>464</v>
      </c>
      <c r="N552" s="53" t="s">
        <v>113</v>
      </c>
      <c r="O552" s="51" t="s">
        <v>224</v>
      </c>
      <c r="P552" s="248" t="str">
        <f>IFERROR(VLOOKUP(C552,TD!$B$33:$F$37,2,0)," ")</f>
        <v>O230117</v>
      </c>
      <c r="Q552" s="248" t="str">
        <f>IFERROR(VLOOKUP(C552,TD!$B$33:$F$37,3,0)," ")</f>
        <v>4503</v>
      </c>
      <c r="R552" s="248">
        <f>IFERROR(VLOOKUP(C552,TD!$B$33:$F$37,4,0)," ")</f>
        <v>20240255</v>
      </c>
      <c r="S552" s="51" t="s">
        <v>187</v>
      </c>
      <c r="T552" s="248" t="str">
        <f>IFERROR(VLOOKUP(S552,TD!$J$34:$K$44,2,0)," ")</f>
        <v>Servicio de mantenimiento, dotación (HEA´s y equipo menor) y adquisición de vehiculos   especializados para la atención de emergencias.</v>
      </c>
      <c r="U552" s="249" t="str">
        <f>CONCATENATE(S552,"-",T552)</f>
        <v>09-Servicio de mantenimiento, dotación (HEA´s y equipo menor) y adquisición de vehiculos   especializados para la atención de emergencias.</v>
      </c>
      <c r="V552" s="51" t="s">
        <v>232</v>
      </c>
      <c r="W552" s="248" t="str">
        <f>IFERROR(VLOOKUP(V552,TD!$N$34:$O$46,2,0)," ")</f>
        <v>Servicio de atención a emergencias y desastres</v>
      </c>
      <c r="X552" s="249" t="str">
        <f>CONCATENATE(V552,"_",W552)</f>
        <v>004_Servicio de atención a emergencias y desastres</v>
      </c>
      <c r="Y552" s="249" t="str">
        <f>CONCATENATE(U552," ",X552)</f>
        <v>09-Servicio de mantenimiento, dotación (HEA´s y equipo menor) y adquisición de vehiculos   especializados para la atención de emergencias. 004_Servicio de atención a emergencias y desastres</v>
      </c>
      <c r="Z552" s="248" t="str">
        <f>CONCATENATE(P552,Q552,R552,S552,V552)</f>
        <v>O23011745032024025509004</v>
      </c>
      <c r="AA552" s="248" t="str">
        <f>IFERROR(VLOOKUP(Y552,TD!$K$47:$L$65,2,0)," ")</f>
        <v>PM/0131/0109/45030040255</v>
      </c>
      <c r="AB552" s="53" t="s">
        <v>87</v>
      </c>
      <c r="AC552" s="250" t="s">
        <v>205</v>
      </c>
    </row>
    <row r="553" spans="2:29" s="28" customFormat="1" ht="56" x14ac:dyDescent="0.35">
      <c r="B553" s="77">
        <v>20250605</v>
      </c>
      <c r="C553" s="50" t="s">
        <v>209</v>
      </c>
      <c r="D553" s="246" t="s">
        <v>168</v>
      </c>
      <c r="E553" s="51" t="s">
        <v>600</v>
      </c>
      <c r="F553" s="246" t="s">
        <v>859</v>
      </c>
      <c r="G553" s="246" t="s">
        <v>156</v>
      </c>
      <c r="H553" s="93">
        <v>80111600</v>
      </c>
      <c r="I553" s="247">
        <v>3</v>
      </c>
      <c r="J553" s="247">
        <v>8</v>
      </c>
      <c r="K553" s="52">
        <v>0</v>
      </c>
      <c r="L553" s="53">
        <v>22995000</v>
      </c>
      <c r="M553" s="246" t="s">
        <v>464</v>
      </c>
      <c r="N553" s="53" t="s">
        <v>113</v>
      </c>
      <c r="O553" s="51" t="s">
        <v>224</v>
      </c>
      <c r="P553" s="248" t="str">
        <f>IFERROR(VLOOKUP(C553,TD!$B$33:$F$37,2,0)," ")</f>
        <v>O230117</v>
      </c>
      <c r="Q553" s="248" t="str">
        <f>IFERROR(VLOOKUP(C553,TD!$B$33:$F$37,3,0)," ")</f>
        <v>4503</v>
      </c>
      <c r="R553" s="248">
        <f>IFERROR(VLOOKUP(C553,TD!$B$33:$F$37,4,0)," ")</f>
        <v>20240255</v>
      </c>
      <c r="S553" s="51" t="s">
        <v>191</v>
      </c>
      <c r="T553" s="248" t="str">
        <f>IFERROR(VLOOKUP(S553,TD!$J$34:$K$44,2,0)," ")</f>
        <v>Servicio de apoyo   logístico  en eventos operativos y/o emergencias.</v>
      </c>
      <c r="U553" s="249" t="str">
        <f>CONCATENATE(S553,"-",T553)</f>
        <v>12-Servicio de apoyo   logístico  en eventos operativos y/o emergencias.</v>
      </c>
      <c r="V553" s="51" t="s">
        <v>232</v>
      </c>
      <c r="W553" s="248" t="str">
        <f>IFERROR(VLOOKUP(V553,TD!$N$34:$O$46,2,0)," ")</f>
        <v>Servicio de atención a emergencias y desastres</v>
      </c>
      <c r="X553" s="249" t="str">
        <f>CONCATENATE(V553,"_",W553)</f>
        <v>004_Servicio de atención a emergencias y desastres</v>
      </c>
      <c r="Y553" s="249" t="str">
        <f>CONCATENATE(U553," ",X553)</f>
        <v>12-Servicio de apoyo   logístico  en eventos operativos y/o emergencias. 004_Servicio de atención a emergencias y desastres</v>
      </c>
      <c r="Z553" s="248" t="str">
        <f>CONCATENATE(P553,Q553,R553,S553,V553)</f>
        <v>O23011745032024025512004</v>
      </c>
      <c r="AA553" s="248" t="str">
        <f>IFERROR(VLOOKUP(Y553,TD!$K$47:$L$65,2,0)," ")</f>
        <v>PM/0131/0112/45030040255</v>
      </c>
      <c r="AB553" s="53" t="s">
        <v>138</v>
      </c>
      <c r="AC553" s="250" t="s">
        <v>204</v>
      </c>
    </row>
    <row r="554" spans="2:29" s="28" customFormat="1" ht="70" x14ac:dyDescent="0.35">
      <c r="B554" s="77">
        <v>20250606</v>
      </c>
      <c r="C554" s="50" t="s">
        <v>209</v>
      </c>
      <c r="D554" s="246" t="s">
        <v>168</v>
      </c>
      <c r="E554" s="51" t="s">
        <v>600</v>
      </c>
      <c r="F554" s="246" t="s">
        <v>859</v>
      </c>
      <c r="G554" s="246" t="s">
        <v>156</v>
      </c>
      <c r="H554" s="93">
        <v>80111600</v>
      </c>
      <c r="I554" s="247">
        <v>3</v>
      </c>
      <c r="J554" s="247">
        <v>8</v>
      </c>
      <c r="K554" s="52">
        <v>0</v>
      </c>
      <c r="L554" s="53">
        <v>26240000</v>
      </c>
      <c r="M554" s="246" t="s">
        <v>464</v>
      </c>
      <c r="N554" s="53" t="s">
        <v>113</v>
      </c>
      <c r="O554" s="51" t="s">
        <v>224</v>
      </c>
      <c r="P554" s="248" t="str">
        <f>IFERROR(VLOOKUP(C554,TD!$B$33:$F$37,2,0)," ")</f>
        <v>O230117</v>
      </c>
      <c r="Q554" s="248" t="str">
        <f>IFERROR(VLOOKUP(C554,TD!$B$33:$F$37,3,0)," ")</f>
        <v>4503</v>
      </c>
      <c r="R554" s="248">
        <f>IFERROR(VLOOKUP(C554,TD!$B$33:$F$37,4,0)," ")</f>
        <v>20240255</v>
      </c>
      <c r="S554" s="51" t="s">
        <v>191</v>
      </c>
      <c r="T554" s="248" t="str">
        <f>IFERROR(VLOOKUP(S554,TD!$J$34:$K$44,2,0)," ")</f>
        <v>Servicio de apoyo   logístico  en eventos operativos y/o emergencias.</v>
      </c>
      <c r="U554" s="249" t="str">
        <f>CONCATENATE(S554,"-",T554)</f>
        <v>12-Servicio de apoyo   logístico  en eventos operativos y/o emergencias.</v>
      </c>
      <c r="V554" s="51" t="s">
        <v>232</v>
      </c>
      <c r="W554" s="248" t="str">
        <f>IFERROR(VLOOKUP(V554,TD!$N$34:$O$46,2,0)," ")</f>
        <v>Servicio de atención a emergencias y desastres</v>
      </c>
      <c r="X554" s="249" t="str">
        <f>CONCATENATE(V554,"_",W554)</f>
        <v>004_Servicio de atención a emergencias y desastres</v>
      </c>
      <c r="Y554" s="249" t="str">
        <f>CONCATENATE(U554," ",X554)</f>
        <v>12-Servicio de apoyo   logístico  en eventos operativos y/o emergencias. 004_Servicio de atención a emergencias y desastres</v>
      </c>
      <c r="Z554" s="248" t="str">
        <f>CONCATENATE(P554,Q554,R554,S554,V554)</f>
        <v>O23011745032024025512004</v>
      </c>
      <c r="AA554" s="248" t="str">
        <f>IFERROR(VLOOKUP(Y554,TD!$K$47:$L$65,2,0)," ")</f>
        <v>PM/0131/0112/45030040255</v>
      </c>
      <c r="AB554" s="53" t="s">
        <v>138</v>
      </c>
      <c r="AC554" s="250" t="s">
        <v>204</v>
      </c>
    </row>
    <row r="555" spans="2:29" s="28" customFormat="1" ht="70" x14ac:dyDescent="0.35">
      <c r="B555" s="77">
        <v>20250607</v>
      </c>
      <c r="C555" s="50" t="s">
        <v>209</v>
      </c>
      <c r="D555" s="246" t="s">
        <v>168</v>
      </c>
      <c r="E555" s="51" t="s">
        <v>600</v>
      </c>
      <c r="F555" s="246" t="s">
        <v>859</v>
      </c>
      <c r="G555" s="246" t="s">
        <v>156</v>
      </c>
      <c r="H555" s="93">
        <v>80111600</v>
      </c>
      <c r="I555" s="247">
        <v>3</v>
      </c>
      <c r="J555" s="247">
        <v>8</v>
      </c>
      <c r="K555" s="52">
        <v>0</v>
      </c>
      <c r="L555" s="53">
        <v>19710000</v>
      </c>
      <c r="M555" s="246" t="s">
        <v>464</v>
      </c>
      <c r="N555" s="53" t="s">
        <v>113</v>
      </c>
      <c r="O555" s="51" t="s">
        <v>224</v>
      </c>
      <c r="P555" s="248" t="str">
        <f>IFERROR(VLOOKUP(C555,TD!$B$33:$F$37,2,0)," ")</f>
        <v>O230117</v>
      </c>
      <c r="Q555" s="248" t="str">
        <f>IFERROR(VLOOKUP(C555,TD!$B$33:$F$37,3,0)," ")</f>
        <v>4503</v>
      </c>
      <c r="R555" s="248">
        <f>IFERROR(VLOOKUP(C555,TD!$B$33:$F$37,4,0)," ")</f>
        <v>20240255</v>
      </c>
      <c r="S555" s="51" t="s">
        <v>191</v>
      </c>
      <c r="T555" s="248" t="str">
        <f>IFERROR(VLOOKUP(S555,TD!$J$34:$K$44,2,0)," ")</f>
        <v>Servicio de apoyo   logístico  en eventos operativos y/o emergencias.</v>
      </c>
      <c r="U555" s="249" t="str">
        <f>CONCATENATE(S555,"-",T555)</f>
        <v>12-Servicio de apoyo   logístico  en eventos operativos y/o emergencias.</v>
      </c>
      <c r="V555" s="51" t="s">
        <v>232</v>
      </c>
      <c r="W555" s="248" t="str">
        <f>IFERROR(VLOOKUP(V555,TD!$N$34:$O$46,2,0)," ")</f>
        <v>Servicio de atención a emergencias y desastres</v>
      </c>
      <c r="X555" s="249" t="str">
        <f>CONCATENATE(V555,"_",W555)</f>
        <v>004_Servicio de atención a emergencias y desastres</v>
      </c>
      <c r="Y555" s="249" t="str">
        <f>CONCATENATE(U555," ",X555)</f>
        <v>12-Servicio de apoyo   logístico  en eventos operativos y/o emergencias. 004_Servicio de atención a emergencias y desastres</v>
      </c>
      <c r="Z555" s="248" t="str">
        <f>CONCATENATE(P555,Q555,R555,S555,V555)</f>
        <v>O23011745032024025512004</v>
      </c>
      <c r="AA555" s="248" t="str">
        <f>IFERROR(VLOOKUP(Y555,TD!$K$47:$L$65,2,0)," ")</f>
        <v>PM/0131/0112/45030040255</v>
      </c>
      <c r="AB555" s="53" t="s">
        <v>138</v>
      </c>
      <c r="AC555" s="250" t="s">
        <v>204</v>
      </c>
    </row>
    <row r="556" spans="2:29" s="28" customFormat="1" ht="84" x14ac:dyDescent="0.35">
      <c r="B556" s="77">
        <v>20250608</v>
      </c>
      <c r="C556" s="50" t="s">
        <v>209</v>
      </c>
      <c r="D556" s="246" t="s">
        <v>168</v>
      </c>
      <c r="E556" s="51" t="s">
        <v>600</v>
      </c>
      <c r="F556" s="246" t="s">
        <v>859</v>
      </c>
      <c r="G556" s="246" t="s">
        <v>156</v>
      </c>
      <c r="H556" s="93">
        <v>80111600</v>
      </c>
      <c r="I556" s="247">
        <v>3</v>
      </c>
      <c r="J556" s="247">
        <v>8</v>
      </c>
      <c r="K556" s="52">
        <v>0</v>
      </c>
      <c r="L556" s="53">
        <v>26240000</v>
      </c>
      <c r="M556" s="246" t="s">
        <v>464</v>
      </c>
      <c r="N556" s="53" t="s">
        <v>113</v>
      </c>
      <c r="O556" s="51" t="s">
        <v>224</v>
      </c>
      <c r="P556" s="248" t="str">
        <f>IFERROR(VLOOKUP(C556,TD!$B$33:$F$37,2,0)," ")</f>
        <v>O230117</v>
      </c>
      <c r="Q556" s="248" t="str">
        <f>IFERROR(VLOOKUP(C556,TD!$B$33:$F$37,3,0)," ")</f>
        <v>4503</v>
      </c>
      <c r="R556" s="248">
        <f>IFERROR(VLOOKUP(C556,TD!$B$33:$F$37,4,0)," ")</f>
        <v>20240255</v>
      </c>
      <c r="S556" s="51" t="s">
        <v>191</v>
      </c>
      <c r="T556" s="248" t="str">
        <f>IFERROR(VLOOKUP(S556,TD!$J$34:$K$44,2,0)," ")</f>
        <v>Servicio de apoyo   logístico  en eventos operativos y/o emergencias.</v>
      </c>
      <c r="U556" s="249" t="str">
        <f>CONCATENATE(S556,"-",T556)</f>
        <v>12-Servicio de apoyo   logístico  en eventos operativos y/o emergencias.</v>
      </c>
      <c r="V556" s="51" t="s">
        <v>232</v>
      </c>
      <c r="W556" s="248" t="str">
        <f>IFERROR(VLOOKUP(V556,TD!$N$34:$O$46,2,0)," ")</f>
        <v>Servicio de atención a emergencias y desastres</v>
      </c>
      <c r="X556" s="249" t="str">
        <f>CONCATENATE(V556,"_",W556)</f>
        <v>004_Servicio de atención a emergencias y desastres</v>
      </c>
      <c r="Y556" s="249" t="str">
        <f>CONCATENATE(U556," ",X556)</f>
        <v>12-Servicio de apoyo   logístico  en eventos operativos y/o emergencias. 004_Servicio de atención a emergencias y desastres</v>
      </c>
      <c r="Z556" s="248" t="str">
        <f>CONCATENATE(P556,Q556,R556,S556,V556)</f>
        <v>O23011745032024025512004</v>
      </c>
      <c r="AA556" s="248" t="str">
        <f>IFERROR(VLOOKUP(Y556,TD!$K$47:$L$65,2,0)," ")</f>
        <v>PM/0131/0112/45030040255</v>
      </c>
      <c r="AB556" s="53" t="s">
        <v>138</v>
      </c>
      <c r="AC556" s="250" t="s">
        <v>204</v>
      </c>
    </row>
    <row r="557" spans="2:29" s="28" customFormat="1" ht="56" x14ac:dyDescent="0.35">
      <c r="B557" s="77">
        <v>20250609</v>
      </c>
      <c r="C557" s="50" t="s">
        <v>209</v>
      </c>
      <c r="D557" s="246" t="s">
        <v>168</v>
      </c>
      <c r="E557" s="51" t="s">
        <v>600</v>
      </c>
      <c r="F557" s="246" t="s">
        <v>859</v>
      </c>
      <c r="G557" s="246" t="s">
        <v>156</v>
      </c>
      <c r="H557" s="93">
        <v>80111600</v>
      </c>
      <c r="I557" s="247">
        <v>3</v>
      </c>
      <c r="J557" s="247">
        <v>8</v>
      </c>
      <c r="K557" s="52">
        <v>0</v>
      </c>
      <c r="L557" s="53">
        <v>26240000</v>
      </c>
      <c r="M557" s="246" t="s">
        <v>464</v>
      </c>
      <c r="N557" s="53" t="s">
        <v>113</v>
      </c>
      <c r="O557" s="51" t="s">
        <v>224</v>
      </c>
      <c r="P557" s="248" t="str">
        <f>IFERROR(VLOOKUP(C557,TD!$B$33:$F$37,2,0)," ")</f>
        <v>O230117</v>
      </c>
      <c r="Q557" s="248" t="str">
        <f>IFERROR(VLOOKUP(C557,TD!$B$33:$F$37,3,0)," ")</f>
        <v>4503</v>
      </c>
      <c r="R557" s="248">
        <f>IFERROR(VLOOKUP(C557,TD!$B$33:$F$37,4,0)," ")</f>
        <v>20240255</v>
      </c>
      <c r="S557" s="51" t="s">
        <v>191</v>
      </c>
      <c r="T557" s="248" t="str">
        <f>IFERROR(VLOOKUP(S557,TD!$J$34:$K$44,2,0)," ")</f>
        <v>Servicio de apoyo   logístico  en eventos operativos y/o emergencias.</v>
      </c>
      <c r="U557" s="249" t="str">
        <f>CONCATENATE(S557,"-",T557)</f>
        <v>12-Servicio de apoyo   logístico  en eventos operativos y/o emergencias.</v>
      </c>
      <c r="V557" s="51" t="s">
        <v>232</v>
      </c>
      <c r="W557" s="248" t="str">
        <f>IFERROR(VLOOKUP(V557,TD!$N$34:$O$46,2,0)," ")</f>
        <v>Servicio de atención a emergencias y desastres</v>
      </c>
      <c r="X557" s="249" t="str">
        <f>CONCATENATE(V557,"_",W557)</f>
        <v>004_Servicio de atención a emergencias y desastres</v>
      </c>
      <c r="Y557" s="249" t="str">
        <f>CONCATENATE(U557," ",X557)</f>
        <v>12-Servicio de apoyo   logístico  en eventos operativos y/o emergencias. 004_Servicio de atención a emergencias y desastres</v>
      </c>
      <c r="Z557" s="248" t="str">
        <f>CONCATENATE(P557,Q557,R557,S557,V557)</f>
        <v>O23011745032024025512004</v>
      </c>
      <c r="AA557" s="248" t="str">
        <f>IFERROR(VLOOKUP(Y557,TD!$K$47:$L$65,2,0)," ")</f>
        <v>PM/0131/0112/45030040255</v>
      </c>
      <c r="AB557" s="53" t="s">
        <v>138</v>
      </c>
      <c r="AC557" s="250" t="s">
        <v>204</v>
      </c>
    </row>
    <row r="558" spans="2:29" s="28" customFormat="1" ht="56" x14ac:dyDescent="0.35">
      <c r="B558" s="77">
        <v>20250610</v>
      </c>
      <c r="C558" s="50" t="s">
        <v>209</v>
      </c>
      <c r="D558" s="246" t="s">
        <v>168</v>
      </c>
      <c r="E558" s="51" t="s">
        <v>600</v>
      </c>
      <c r="F558" s="246" t="s">
        <v>859</v>
      </c>
      <c r="G558" s="246" t="s">
        <v>156</v>
      </c>
      <c r="H558" s="93">
        <v>80111600</v>
      </c>
      <c r="I558" s="247">
        <v>3</v>
      </c>
      <c r="J558" s="247">
        <v>8</v>
      </c>
      <c r="K558" s="52">
        <v>0</v>
      </c>
      <c r="L558" s="53">
        <v>26240000</v>
      </c>
      <c r="M558" s="246" t="s">
        <v>464</v>
      </c>
      <c r="N558" s="53" t="s">
        <v>113</v>
      </c>
      <c r="O558" s="51" t="s">
        <v>224</v>
      </c>
      <c r="P558" s="248" t="str">
        <f>IFERROR(VLOOKUP(C558,TD!$B$33:$F$37,2,0)," ")</f>
        <v>O230117</v>
      </c>
      <c r="Q558" s="248" t="str">
        <f>IFERROR(VLOOKUP(C558,TD!$B$33:$F$37,3,0)," ")</f>
        <v>4503</v>
      </c>
      <c r="R558" s="248">
        <f>IFERROR(VLOOKUP(C558,TD!$B$33:$F$37,4,0)," ")</f>
        <v>20240255</v>
      </c>
      <c r="S558" s="51" t="s">
        <v>191</v>
      </c>
      <c r="T558" s="248" t="str">
        <f>IFERROR(VLOOKUP(S558,TD!$J$34:$K$44,2,0)," ")</f>
        <v>Servicio de apoyo   logístico  en eventos operativos y/o emergencias.</v>
      </c>
      <c r="U558" s="249" t="str">
        <f>CONCATENATE(S558,"-",T558)</f>
        <v>12-Servicio de apoyo   logístico  en eventos operativos y/o emergencias.</v>
      </c>
      <c r="V558" s="51" t="s">
        <v>232</v>
      </c>
      <c r="W558" s="248" t="str">
        <f>IFERROR(VLOOKUP(V558,TD!$N$34:$O$46,2,0)," ")</f>
        <v>Servicio de atención a emergencias y desastres</v>
      </c>
      <c r="X558" s="249" t="str">
        <f>CONCATENATE(V558,"_",W558)</f>
        <v>004_Servicio de atención a emergencias y desastres</v>
      </c>
      <c r="Y558" s="249" t="str">
        <f>CONCATENATE(U558," ",X558)</f>
        <v>12-Servicio de apoyo   logístico  en eventos operativos y/o emergencias. 004_Servicio de atención a emergencias y desastres</v>
      </c>
      <c r="Z558" s="248" t="str">
        <f>CONCATENATE(P558,Q558,R558,S558,V558)</f>
        <v>O23011745032024025512004</v>
      </c>
      <c r="AA558" s="248" t="str">
        <f>IFERROR(VLOOKUP(Y558,TD!$K$47:$L$65,2,0)," ")</f>
        <v>PM/0131/0112/45030040255</v>
      </c>
      <c r="AB558" s="53" t="s">
        <v>138</v>
      </c>
      <c r="AC558" s="250" t="s">
        <v>204</v>
      </c>
    </row>
    <row r="559" spans="2:29" s="28" customFormat="1" ht="98" x14ac:dyDescent="0.35">
      <c r="B559" s="127">
        <v>20250613</v>
      </c>
      <c r="C559" s="129" t="s">
        <v>208</v>
      </c>
      <c r="D559" s="251" t="s">
        <v>162</v>
      </c>
      <c r="E559" s="252" t="s">
        <v>355</v>
      </c>
      <c r="F559" s="251" t="s">
        <v>764</v>
      </c>
      <c r="G559" s="251" t="s">
        <v>154</v>
      </c>
      <c r="H559" s="130">
        <v>46171619</v>
      </c>
      <c r="I559" s="253">
        <v>10</v>
      </c>
      <c r="J559" s="253">
        <v>2</v>
      </c>
      <c r="K559" s="126">
        <v>0</v>
      </c>
      <c r="L559" s="125">
        <v>57910392</v>
      </c>
      <c r="M559" s="251" t="s">
        <v>464</v>
      </c>
      <c r="N559" s="125" t="s">
        <v>123</v>
      </c>
      <c r="O559" s="252" t="s">
        <v>215</v>
      </c>
      <c r="P559" s="254" t="str">
        <f>IFERROR(VLOOKUP(C559,TD!$B$33:$F$37,2,0)," ")</f>
        <v>O230117</v>
      </c>
      <c r="Q559" s="254" t="str">
        <f>IFERROR(VLOOKUP(C559,TD!$B$33:$F$37,3,0)," ")</f>
        <v>4599</v>
      </c>
      <c r="R559" s="254">
        <f>IFERROR(VLOOKUP(C559,TD!$B$33:$F$37,4,0)," ")</f>
        <v>20240207</v>
      </c>
      <c r="S559" s="252" t="s">
        <v>179</v>
      </c>
      <c r="T559" s="254" t="str">
        <f>IFERROR(VLOOKUP(S559,TD!$J$34:$K$44,2,0)," ")</f>
        <v>Infraestructura Tecnológica   (Sistemas de Información y Tecnologia)</v>
      </c>
      <c r="U559" s="249" t="str">
        <f>CONCATENATE(S559,"-",T559)</f>
        <v>11-Infraestructura Tecnológica   (Sistemas de Información y Tecnologia)</v>
      </c>
      <c r="V559" s="252" t="s">
        <v>239</v>
      </c>
      <c r="W559" s="254" t="str">
        <f>IFERROR(VLOOKUP(V559,TD!$N$34:$O$46,2,0)," ")</f>
        <v>Servicios tecnológicos</v>
      </c>
      <c r="X559" s="249" t="str">
        <f>CONCATENATE(V559,"_",W559)</f>
        <v>007_Servicios tecnológicos</v>
      </c>
      <c r="Y559" s="249" t="str">
        <f>CONCATENATE(U559," ",X559)</f>
        <v>11-Infraestructura Tecnológica   (Sistemas de Información y Tecnologia) 007_Servicios tecnológicos</v>
      </c>
      <c r="Z559" s="254" t="str">
        <f>CONCATENATE(P559,Q559,R559,S559,V559)</f>
        <v>O23011745992024020711007</v>
      </c>
      <c r="AA559" s="254" t="str">
        <f>IFERROR(VLOOKUP(Y559,TD!$K$47:$L$65,2,0)," ")</f>
        <v>PM/0131/0111/45990070207</v>
      </c>
      <c r="AB559" s="125" t="s">
        <v>130</v>
      </c>
      <c r="AC559" s="255" t="s">
        <v>204</v>
      </c>
    </row>
    <row r="560" spans="2:29" s="28" customFormat="1" ht="56" x14ac:dyDescent="0.35">
      <c r="B560" s="77">
        <v>20250614</v>
      </c>
      <c r="C560" s="50" t="s">
        <v>208</v>
      </c>
      <c r="D560" s="246" t="s">
        <v>162</v>
      </c>
      <c r="E560" s="51" t="s">
        <v>355</v>
      </c>
      <c r="F560" s="246" t="s">
        <v>765</v>
      </c>
      <c r="G560" s="246" t="s">
        <v>155</v>
      </c>
      <c r="H560" s="93">
        <v>80111600</v>
      </c>
      <c r="I560" s="247">
        <v>2</v>
      </c>
      <c r="J560" s="247">
        <v>11</v>
      </c>
      <c r="K560" s="52">
        <v>0</v>
      </c>
      <c r="L560" s="53">
        <v>49500000</v>
      </c>
      <c r="M560" s="246" t="s">
        <v>464</v>
      </c>
      <c r="N560" s="53" t="s">
        <v>113</v>
      </c>
      <c r="O560" s="51" t="s">
        <v>215</v>
      </c>
      <c r="P560" s="248" t="str">
        <f>IFERROR(VLOOKUP(C560,TD!$B$33:$F$37,2,0)," ")</f>
        <v>O230117</v>
      </c>
      <c r="Q560" s="248" t="str">
        <f>IFERROR(VLOOKUP(C560,TD!$B$33:$F$37,3,0)," ")</f>
        <v>4599</v>
      </c>
      <c r="R560" s="248">
        <f>IFERROR(VLOOKUP(C560,TD!$B$33:$F$37,4,0)," ")</f>
        <v>20240207</v>
      </c>
      <c r="S560" s="51" t="s">
        <v>179</v>
      </c>
      <c r="T560" s="248" t="str">
        <f>IFERROR(VLOOKUP(S560,TD!$J$34:$K$44,2,0)," ")</f>
        <v>Infraestructura Tecnológica   (Sistemas de Información y Tecnologia)</v>
      </c>
      <c r="U560" s="249" t="str">
        <f>CONCATENATE(S560,"-",T560)</f>
        <v>11-Infraestructura Tecnológica   (Sistemas de Información y Tecnologia)</v>
      </c>
      <c r="V560" s="51" t="s">
        <v>239</v>
      </c>
      <c r="W560" s="248" t="str">
        <f>IFERROR(VLOOKUP(V560,TD!$N$34:$O$46,2,0)," ")</f>
        <v>Servicios tecnológicos</v>
      </c>
      <c r="X560" s="249" t="str">
        <f>CONCATENATE(V560,"_",W560)</f>
        <v>007_Servicios tecnológicos</v>
      </c>
      <c r="Y560" s="249" t="str">
        <f>CONCATENATE(U560," ",X560)</f>
        <v>11-Infraestructura Tecnológica   (Sistemas de Información y Tecnologia) 007_Servicios tecnológicos</v>
      </c>
      <c r="Z560" s="248" t="str">
        <f>CONCATENATE(P560,Q560,R560,S560,V560)</f>
        <v>O23011745992024020711007</v>
      </c>
      <c r="AA560" s="248" t="str">
        <f>IFERROR(VLOOKUP(Y560,TD!$K$47:$L$65,2,0)," ")</f>
        <v>PM/0131/0111/45990070207</v>
      </c>
      <c r="AB560" s="53" t="s">
        <v>138</v>
      </c>
      <c r="AC560" s="250" t="s">
        <v>204</v>
      </c>
    </row>
    <row r="561" spans="2:29" s="28" customFormat="1" ht="56" x14ac:dyDescent="0.35">
      <c r="B561" s="77">
        <v>20250617</v>
      </c>
      <c r="C561" s="50" t="s">
        <v>208</v>
      </c>
      <c r="D561" s="246" t="s">
        <v>162</v>
      </c>
      <c r="E561" s="51" t="s">
        <v>355</v>
      </c>
      <c r="F561" s="246" t="s">
        <v>801</v>
      </c>
      <c r="G561" s="246" t="s">
        <v>155</v>
      </c>
      <c r="H561" s="93">
        <v>80111600</v>
      </c>
      <c r="I561" s="247">
        <v>2</v>
      </c>
      <c r="J561" s="247">
        <v>7</v>
      </c>
      <c r="K561" s="52">
        <v>0</v>
      </c>
      <c r="L561" s="53">
        <v>49000000</v>
      </c>
      <c r="M561" s="246" t="s">
        <v>464</v>
      </c>
      <c r="N561" s="53" t="s">
        <v>113</v>
      </c>
      <c r="O561" s="51" t="s">
        <v>215</v>
      </c>
      <c r="P561" s="248" t="str">
        <f>IFERROR(VLOOKUP(C561,TD!$B$33:$F$37,2,0)," ")</f>
        <v>O230117</v>
      </c>
      <c r="Q561" s="248" t="str">
        <f>IFERROR(VLOOKUP(C561,TD!$B$33:$F$37,3,0)," ")</f>
        <v>4599</v>
      </c>
      <c r="R561" s="248">
        <f>IFERROR(VLOOKUP(C561,TD!$B$33:$F$37,4,0)," ")</f>
        <v>20240207</v>
      </c>
      <c r="S561" s="51" t="s">
        <v>179</v>
      </c>
      <c r="T561" s="248" t="str">
        <f>IFERROR(VLOOKUP(S561,TD!$J$34:$K$44,2,0)," ")</f>
        <v>Infraestructura Tecnológica   (Sistemas de Información y Tecnologia)</v>
      </c>
      <c r="U561" s="249" t="str">
        <f>CONCATENATE(S561,"-",T561)</f>
        <v>11-Infraestructura Tecnológica   (Sistemas de Información y Tecnologia)</v>
      </c>
      <c r="V561" s="51" t="s">
        <v>239</v>
      </c>
      <c r="W561" s="248" t="str">
        <f>IFERROR(VLOOKUP(V561,TD!$N$34:$O$46,2,0)," ")</f>
        <v>Servicios tecnológicos</v>
      </c>
      <c r="X561" s="249" t="str">
        <f>CONCATENATE(V561,"_",W561)</f>
        <v>007_Servicios tecnológicos</v>
      </c>
      <c r="Y561" s="249" t="str">
        <f>CONCATENATE(U561," ",X561)</f>
        <v>11-Infraestructura Tecnológica   (Sistemas de Información y Tecnologia) 007_Servicios tecnológicos</v>
      </c>
      <c r="Z561" s="248" t="str">
        <f>CONCATENATE(P561,Q561,R561,S561,V561)</f>
        <v>O23011745992024020711007</v>
      </c>
      <c r="AA561" s="248" t="str">
        <f>IFERROR(VLOOKUP(Y561,TD!$K$47:$L$65,2,0)," ")</f>
        <v>PM/0131/0111/45990070207</v>
      </c>
      <c r="AB561" s="53" t="s">
        <v>120</v>
      </c>
      <c r="AC561" s="250" t="s">
        <v>204</v>
      </c>
    </row>
    <row r="562" spans="2:29" s="28" customFormat="1" ht="84" x14ac:dyDescent="0.35">
      <c r="B562" s="77">
        <v>20250618</v>
      </c>
      <c r="C562" s="50" t="s">
        <v>208</v>
      </c>
      <c r="D562" s="246" t="s">
        <v>162</v>
      </c>
      <c r="E562" s="51" t="s">
        <v>355</v>
      </c>
      <c r="F562" s="246" t="s">
        <v>802</v>
      </c>
      <c r="G562" s="246" t="s">
        <v>155</v>
      </c>
      <c r="H562" s="93">
        <v>80111600</v>
      </c>
      <c r="I562" s="247">
        <v>2</v>
      </c>
      <c r="J562" s="247">
        <v>5</v>
      </c>
      <c r="K562" s="52">
        <v>0</v>
      </c>
      <c r="L562" s="53">
        <v>35000000</v>
      </c>
      <c r="M562" s="246" t="s">
        <v>464</v>
      </c>
      <c r="N562" s="53" t="s">
        <v>113</v>
      </c>
      <c r="O562" s="51" t="s">
        <v>214</v>
      </c>
      <c r="P562" s="248" t="str">
        <f>IFERROR(VLOOKUP(C562,TD!$B$33:$F$37,2,0)," ")</f>
        <v>O230117</v>
      </c>
      <c r="Q562" s="248" t="str">
        <f>IFERROR(VLOOKUP(C562,TD!$B$33:$F$37,3,0)," ")</f>
        <v>4599</v>
      </c>
      <c r="R562" s="248">
        <f>IFERROR(VLOOKUP(C562,TD!$B$33:$F$37,4,0)," ")</f>
        <v>20240207</v>
      </c>
      <c r="S562" s="51" t="s">
        <v>179</v>
      </c>
      <c r="T562" s="248" t="str">
        <f>IFERROR(VLOOKUP(S562,TD!$J$34:$K$44,2,0)," ")</f>
        <v>Infraestructura Tecnológica   (Sistemas de Información y Tecnologia)</v>
      </c>
      <c r="U562" s="249" t="str">
        <f>CONCATENATE(S562,"-",T562)</f>
        <v>11-Infraestructura Tecnológica   (Sistemas de Información y Tecnologia)</v>
      </c>
      <c r="V562" s="51" t="s">
        <v>239</v>
      </c>
      <c r="W562" s="248" t="str">
        <f>IFERROR(VLOOKUP(V562,TD!$N$34:$O$46,2,0)," ")</f>
        <v>Servicios tecnológicos</v>
      </c>
      <c r="X562" s="249" t="str">
        <f>CONCATENATE(V562,"_",W562)</f>
        <v>007_Servicios tecnológicos</v>
      </c>
      <c r="Y562" s="249" t="str">
        <f>CONCATENATE(U562," ",X562)</f>
        <v>11-Infraestructura Tecnológica   (Sistemas de Información y Tecnologia) 007_Servicios tecnológicos</v>
      </c>
      <c r="Z562" s="248" t="str">
        <f>CONCATENATE(P562,Q562,R562,S562,V562)</f>
        <v>O23011745992024020711007</v>
      </c>
      <c r="AA562" s="248" t="str">
        <f>IFERROR(VLOOKUP(Y562,TD!$K$47:$L$65,2,0)," ")</f>
        <v>PM/0131/0111/45990070207</v>
      </c>
      <c r="AB562" s="53" t="s">
        <v>138</v>
      </c>
      <c r="AC562" s="250" t="s">
        <v>204</v>
      </c>
    </row>
    <row r="563" spans="2:29" s="28" customFormat="1" ht="84" x14ac:dyDescent="0.35">
      <c r="B563" s="77">
        <v>20250619</v>
      </c>
      <c r="C563" s="50" t="s">
        <v>208</v>
      </c>
      <c r="D563" s="246" t="s">
        <v>162</v>
      </c>
      <c r="E563" s="51" t="s">
        <v>355</v>
      </c>
      <c r="F563" s="246" t="s">
        <v>803</v>
      </c>
      <c r="G563" s="246" t="s">
        <v>96</v>
      </c>
      <c r="H563" s="93">
        <v>81112006</v>
      </c>
      <c r="I563" s="247">
        <v>2</v>
      </c>
      <c r="J563" s="247">
        <v>4</v>
      </c>
      <c r="K563" s="52">
        <v>0</v>
      </c>
      <c r="L563" s="53">
        <v>7000000</v>
      </c>
      <c r="M563" s="246" t="s">
        <v>464</v>
      </c>
      <c r="N563" s="53" t="s">
        <v>123</v>
      </c>
      <c r="O563" s="51" t="s">
        <v>214</v>
      </c>
      <c r="P563" s="248" t="str">
        <f>IFERROR(VLOOKUP(C563,TD!$B$33:$F$37,2,0)," ")</f>
        <v>O230117</v>
      </c>
      <c r="Q563" s="248" t="str">
        <f>IFERROR(VLOOKUP(C563,TD!$B$33:$F$37,3,0)," ")</f>
        <v>4599</v>
      </c>
      <c r="R563" s="248">
        <f>IFERROR(VLOOKUP(C563,TD!$B$33:$F$37,4,0)," ")</f>
        <v>20240207</v>
      </c>
      <c r="S563" s="51" t="s">
        <v>179</v>
      </c>
      <c r="T563" s="248" t="str">
        <f>IFERROR(VLOOKUP(S563,TD!$J$34:$K$44,2,0)," ")</f>
        <v>Infraestructura Tecnológica   (Sistemas de Información y Tecnologia)</v>
      </c>
      <c r="U563" s="249" t="str">
        <f>CONCATENATE(S563,"-",T563)</f>
        <v>11-Infraestructura Tecnológica   (Sistemas de Información y Tecnologia)</v>
      </c>
      <c r="V563" s="51" t="s">
        <v>239</v>
      </c>
      <c r="W563" s="248" t="str">
        <f>IFERROR(VLOOKUP(V563,TD!$N$34:$O$46,2,0)," ")</f>
        <v>Servicios tecnológicos</v>
      </c>
      <c r="X563" s="249" t="str">
        <f>CONCATENATE(V563,"_",W563)</f>
        <v>007_Servicios tecnológicos</v>
      </c>
      <c r="Y563" s="249" t="str">
        <f>CONCATENATE(U563," ",X563)</f>
        <v>11-Infraestructura Tecnológica   (Sistemas de Información y Tecnologia) 007_Servicios tecnológicos</v>
      </c>
      <c r="Z563" s="248" t="str">
        <f>CONCATENATE(P563,Q563,R563,S563,V563)</f>
        <v>O23011745992024020711007</v>
      </c>
      <c r="AA563" s="248" t="str">
        <f>IFERROR(VLOOKUP(Y563,TD!$K$47:$L$65,2,0)," ")</f>
        <v>PM/0131/0111/45990070207</v>
      </c>
      <c r="AB563" s="53" t="s">
        <v>125</v>
      </c>
      <c r="AC563" s="250" t="s">
        <v>205</v>
      </c>
    </row>
    <row r="564" spans="2:29" s="28" customFormat="1" ht="56" x14ac:dyDescent="0.35">
      <c r="B564" s="127">
        <v>20250620</v>
      </c>
      <c r="C564" s="129" t="s">
        <v>208</v>
      </c>
      <c r="D564" s="251" t="s">
        <v>162</v>
      </c>
      <c r="E564" s="252" t="s">
        <v>355</v>
      </c>
      <c r="F564" s="251" t="s">
        <v>804</v>
      </c>
      <c r="G564" s="251" t="s">
        <v>149</v>
      </c>
      <c r="H564" s="130" t="s">
        <v>805</v>
      </c>
      <c r="I564" s="253">
        <v>4</v>
      </c>
      <c r="J564" s="253">
        <v>12</v>
      </c>
      <c r="K564" s="126">
        <v>0</v>
      </c>
      <c r="L564" s="125">
        <v>54997754</v>
      </c>
      <c r="M564" s="251" t="s">
        <v>464</v>
      </c>
      <c r="N564" s="125" t="s">
        <v>113</v>
      </c>
      <c r="O564" s="252" t="s">
        <v>214</v>
      </c>
      <c r="P564" s="254" t="str">
        <f>IFERROR(VLOOKUP(C564,TD!$B$33:$F$37,2,0)," ")</f>
        <v>O230117</v>
      </c>
      <c r="Q564" s="254" t="str">
        <f>IFERROR(VLOOKUP(C564,TD!$B$33:$F$37,3,0)," ")</f>
        <v>4599</v>
      </c>
      <c r="R564" s="254">
        <f>IFERROR(VLOOKUP(C564,TD!$B$33:$F$37,4,0)," ")</f>
        <v>20240207</v>
      </c>
      <c r="S564" s="252" t="s">
        <v>179</v>
      </c>
      <c r="T564" s="254" t="str">
        <f>IFERROR(VLOOKUP(S564,TD!$J$34:$K$44,2,0)," ")</f>
        <v>Infraestructura Tecnológica   (Sistemas de Información y Tecnologia)</v>
      </c>
      <c r="U564" s="249" t="str">
        <f>CONCATENATE(S564,"-",T564)</f>
        <v>11-Infraestructura Tecnológica   (Sistemas de Información y Tecnologia)</v>
      </c>
      <c r="V564" s="252" t="s">
        <v>239</v>
      </c>
      <c r="W564" s="254" t="str">
        <f>IFERROR(VLOOKUP(V564,TD!$N$34:$O$46,2,0)," ")</f>
        <v>Servicios tecnológicos</v>
      </c>
      <c r="X564" s="249" t="str">
        <f>CONCATENATE(V564,"_",W564)</f>
        <v>007_Servicios tecnológicos</v>
      </c>
      <c r="Y564" s="249" t="str">
        <f>CONCATENATE(U564," ",X564)</f>
        <v>11-Infraestructura Tecnológica   (Sistemas de Información y Tecnologia) 007_Servicios tecnológicos</v>
      </c>
      <c r="Z564" s="254" t="str">
        <f>CONCATENATE(P564,Q564,R564,S564,V564)</f>
        <v>O23011745992024020711007</v>
      </c>
      <c r="AA564" s="254" t="str">
        <f>IFERROR(VLOOKUP(Y564,TD!$K$47:$L$65,2,0)," ")</f>
        <v>PM/0131/0111/45990070207</v>
      </c>
      <c r="AB564" s="125" t="s">
        <v>130</v>
      </c>
      <c r="AC564" s="255" t="s">
        <v>204</v>
      </c>
    </row>
    <row r="565" spans="2:29" s="28" customFormat="1" ht="42" x14ac:dyDescent="0.35">
      <c r="B565" s="77">
        <v>20250623</v>
      </c>
      <c r="C565" s="50" t="s">
        <v>208</v>
      </c>
      <c r="D565" s="246" t="s">
        <v>36</v>
      </c>
      <c r="E565" s="51" t="s">
        <v>378</v>
      </c>
      <c r="F565" s="246" t="s">
        <v>807</v>
      </c>
      <c r="G565" s="246" t="s">
        <v>156</v>
      </c>
      <c r="H565" s="93">
        <v>80111600</v>
      </c>
      <c r="I565" s="247">
        <v>3</v>
      </c>
      <c r="J565" s="247">
        <v>10</v>
      </c>
      <c r="K565" s="52">
        <v>0</v>
      </c>
      <c r="L565" s="53">
        <v>100000000</v>
      </c>
      <c r="M565" s="246" t="s">
        <v>464</v>
      </c>
      <c r="N565" s="53" t="s">
        <v>113</v>
      </c>
      <c r="O565" s="51" t="s">
        <v>212</v>
      </c>
      <c r="P565" s="248" t="str">
        <f>IFERROR(VLOOKUP(C565,TD!$B$33:$F$37,2,0)," ")</f>
        <v>O230117</v>
      </c>
      <c r="Q565" s="248" t="str">
        <f>IFERROR(VLOOKUP(C565,TD!$B$33:$F$37,3,0)," ")</f>
        <v>4599</v>
      </c>
      <c r="R565" s="248">
        <f>IFERROR(VLOOKUP(C565,TD!$B$33:$F$37,4,0)," ")</f>
        <v>20240207</v>
      </c>
      <c r="S565" s="51" t="s">
        <v>193</v>
      </c>
      <c r="T565" s="248" t="str">
        <f>IFERROR(VLOOKUP(S565,TD!$J$34:$K$44,2,0)," ")</f>
        <v>Servicios para la planeación y sistemas de gestión y comunicación estratégica</v>
      </c>
      <c r="U565" s="249" t="str">
        <f>CONCATENATE(S565,"-",T565)</f>
        <v>13-Servicios para la planeación y sistemas de gestión y comunicación estratégica</v>
      </c>
      <c r="V565" s="51" t="s">
        <v>241</v>
      </c>
      <c r="W565" s="248" t="str">
        <f>IFERROR(VLOOKUP(V565,TD!$N$34:$O$46,2,0)," ")</f>
        <v>Servicio de Implementación Sistemas de Gestión</v>
      </c>
      <c r="X565" s="249" t="str">
        <f>CONCATENATE(V565,"_",W565)</f>
        <v>023_Servicio de Implementación Sistemas de Gestión</v>
      </c>
      <c r="Y565" s="249" t="str">
        <f>CONCATENATE(U565," ",X565)</f>
        <v>13-Servicios para la planeación y sistemas de gestión y comunicación estratégica 023_Servicio de Implementación Sistemas de Gestión</v>
      </c>
      <c r="Z565" s="248" t="str">
        <f>CONCATENATE(P565,Q565,R565,S565,V565)</f>
        <v>O23011745992024020713023</v>
      </c>
      <c r="AA565" s="248" t="str">
        <f>IFERROR(VLOOKUP(Y565,TD!$K$47:$L$65,2,0)," ")</f>
        <v>PM/0131/0113/45990230207</v>
      </c>
      <c r="AB565" s="53" t="s">
        <v>138</v>
      </c>
      <c r="AC565" s="250" t="s">
        <v>204</v>
      </c>
    </row>
    <row r="566" spans="2:29" s="28" customFormat="1" ht="84" x14ac:dyDescent="0.35">
      <c r="B566" s="77">
        <v>20250625</v>
      </c>
      <c r="C566" s="50" t="s">
        <v>209</v>
      </c>
      <c r="D566" s="246" t="s">
        <v>165</v>
      </c>
      <c r="E566" s="51" t="s">
        <v>484</v>
      </c>
      <c r="F566" s="246" t="s">
        <v>808</v>
      </c>
      <c r="G566" s="246" t="s">
        <v>156</v>
      </c>
      <c r="H566" s="93">
        <v>80111600</v>
      </c>
      <c r="I566" s="247">
        <v>2</v>
      </c>
      <c r="J566" s="247">
        <v>8</v>
      </c>
      <c r="K566" s="52">
        <v>0</v>
      </c>
      <c r="L566" s="53">
        <v>29600000</v>
      </c>
      <c r="M566" s="246" t="s">
        <v>464</v>
      </c>
      <c r="N566" s="53" t="s">
        <v>113</v>
      </c>
      <c r="O566" s="51" t="s">
        <v>229</v>
      </c>
      <c r="P566" s="248" t="str">
        <f>IFERROR(VLOOKUP(C566,TD!$B$33:$F$37,2,0)," ")</f>
        <v>O230117</v>
      </c>
      <c r="Q566" s="248" t="str">
        <f>IFERROR(VLOOKUP(C566,TD!$B$33:$F$37,3,0)," ")</f>
        <v>4503</v>
      </c>
      <c r="R566" s="248">
        <f>IFERROR(VLOOKUP(C566,TD!$B$33:$F$37,4,0)," ")</f>
        <v>20240255</v>
      </c>
      <c r="S566" s="51" t="s">
        <v>183</v>
      </c>
      <c r="T566" s="248" t="str">
        <f>IFERROR(VLOOKUP(S566,TD!$J$34:$K$44,2,0)," ")</f>
        <v>Servicio de formación en gestión del riesgo de incendios para el personal UAECOB</v>
      </c>
      <c r="U566" s="249" t="str">
        <f>CONCATENATE(S566,"-",T566)</f>
        <v>07-Servicio de formación en gestión del riesgo de incendios para el personal UAECOB</v>
      </c>
      <c r="V566" s="51" t="s">
        <v>233</v>
      </c>
      <c r="W566" s="248" t="str">
        <f>IFERROR(VLOOKUP(V566,TD!$N$34:$O$46,2,0)," ")</f>
        <v>Servicio de educación informal</v>
      </c>
      <c r="X566" s="249" t="str">
        <f>CONCATENATE(V566,"_",W566)</f>
        <v>002_Servicio de educación informal</v>
      </c>
      <c r="Y566" s="249" t="str">
        <f>CONCATENATE(U566," ",X566)</f>
        <v>07-Servicio de formación en gestión del riesgo de incendios para el personal UAECOB 002_Servicio de educación informal</v>
      </c>
      <c r="Z566" s="248" t="str">
        <f>CONCATENATE(P566,Q566,R566,S566,V566)</f>
        <v>O23011745032024025507002</v>
      </c>
      <c r="AA566" s="248" t="str">
        <f>IFERROR(VLOOKUP(Y566,TD!$K$47:$L$65,2,0)," ")</f>
        <v>PM/0131/0107/45030020255</v>
      </c>
      <c r="AB566" s="53" t="s">
        <v>138</v>
      </c>
      <c r="AC566" s="250" t="s">
        <v>204</v>
      </c>
    </row>
    <row r="567" spans="2:29" s="28" customFormat="1" ht="84" x14ac:dyDescent="0.35">
      <c r="B567" s="77">
        <v>20250626</v>
      </c>
      <c r="C567" s="50" t="s">
        <v>209</v>
      </c>
      <c r="D567" s="246" t="s">
        <v>168</v>
      </c>
      <c r="E567" s="51" t="s">
        <v>600</v>
      </c>
      <c r="F567" s="246" t="s">
        <v>813</v>
      </c>
      <c r="G567" s="246" t="s">
        <v>156</v>
      </c>
      <c r="H567" s="93">
        <v>80111600</v>
      </c>
      <c r="I567" s="247">
        <v>2</v>
      </c>
      <c r="J567" s="247">
        <v>6</v>
      </c>
      <c r="K567" s="52">
        <v>0</v>
      </c>
      <c r="L567" s="53">
        <v>9960000</v>
      </c>
      <c r="M567" s="246" t="s">
        <v>464</v>
      </c>
      <c r="N567" s="53" t="s">
        <v>113</v>
      </c>
      <c r="O567" s="51" t="s">
        <v>224</v>
      </c>
      <c r="P567" s="248" t="str">
        <f>IFERROR(VLOOKUP(C567,TD!$B$33:$F$37,2,0)," ")</f>
        <v>O230117</v>
      </c>
      <c r="Q567" s="248" t="str">
        <f>IFERROR(VLOOKUP(C567,TD!$B$33:$F$37,3,0)," ")</f>
        <v>4503</v>
      </c>
      <c r="R567" s="248">
        <f>IFERROR(VLOOKUP(C567,TD!$B$33:$F$37,4,0)," ")</f>
        <v>20240255</v>
      </c>
      <c r="S567" s="51" t="s">
        <v>191</v>
      </c>
      <c r="T567" s="248" t="str">
        <f>IFERROR(VLOOKUP(S567,TD!$J$34:$K$44,2,0)," ")</f>
        <v>Servicio de apoyo   logístico  en eventos operativos y/o emergencias.</v>
      </c>
      <c r="U567" s="249" t="str">
        <f>CONCATENATE(S567,"-",T567)</f>
        <v>12-Servicio de apoyo   logístico  en eventos operativos y/o emergencias.</v>
      </c>
      <c r="V567" s="51" t="s">
        <v>232</v>
      </c>
      <c r="W567" s="248" t="str">
        <f>IFERROR(VLOOKUP(V567,TD!$N$34:$O$46,2,0)," ")</f>
        <v>Servicio de atención a emergencias y desastres</v>
      </c>
      <c r="X567" s="249" t="str">
        <f>CONCATENATE(V567,"_",W567)</f>
        <v>004_Servicio de atención a emergencias y desastres</v>
      </c>
      <c r="Y567" s="249" t="str">
        <f>CONCATENATE(U567," ",X567)</f>
        <v>12-Servicio de apoyo   logístico  en eventos operativos y/o emergencias. 004_Servicio de atención a emergencias y desastres</v>
      </c>
      <c r="Z567" s="248" t="str">
        <f>CONCATENATE(P567,Q567,R567,S567,V567)</f>
        <v>O23011745032024025512004</v>
      </c>
      <c r="AA567" s="248" t="str">
        <f>IFERROR(VLOOKUP(Y567,TD!$K$47:$L$65,2,0)," ")</f>
        <v>PM/0131/0112/45030040255</v>
      </c>
      <c r="AB567" s="53" t="s">
        <v>138</v>
      </c>
      <c r="AC567" s="250" t="s">
        <v>204</v>
      </c>
    </row>
    <row r="568" spans="2:29" s="28" customFormat="1" ht="126" x14ac:dyDescent="0.35">
      <c r="B568" s="77">
        <v>20250628</v>
      </c>
      <c r="C568" s="50" t="s">
        <v>209</v>
      </c>
      <c r="D568" s="246" t="s">
        <v>167</v>
      </c>
      <c r="E568" s="51" t="s">
        <v>505</v>
      </c>
      <c r="F568" s="246" t="s">
        <v>817</v>
      </c>
      <c r="G568" s="246" t="s">
        <v>96</v>
      </c>
      <c r="H568" s="93" t="s">
        <v>521</v>
      </c>
      <c r="I568" s="247">
        <v>2</v>
      </c>
      <c r="J568" s="247">
        <v>12</v>
      </c>
      <c r="K568" s="52">
        <v>0</v>
      </c>
      <c r="L568" s="53">
        <v>190000000</v>
      </c>
      <c r="M568" s="246" t="s">
        <v>464</v>
      </c>
      <c r="N568" s="53" t="s">
        <v>90</v>
      </c>
      <c r="O568" s="51" t="s">
        <v>221</v>
      </c>
      <c r="P568" s="248" t="str">
        <f>IFERROR(VLOOKUP(C568,TD!$B$33:$F$37,2,0)," ")</f>
        <v>O230117</v>
      </c>
      <c r="Q568" s="248" t="str">
        <f>IFERROR(VLOOKUP(C568,TD!$B$33:$F$37,3,0)," ")</f>
        <v>4503</v>
      </c>
      <c r="R568" s="248">
        <f>IFERROR(VLOOKUP(C568,TD!$B$33:$F$37,4,0)," ")</f>
        <v>20240255</v>
      </c>
      <c r="S568" s="51" t="s">
        <v>179</v>
      </c>
      <c r="T568" s="248" t="str">
        <f>IFERROR(VLOOKUP(S568,TD!$J$34:$K$44,2,0)," ")</f>
        <v>Infraestructura Tecnológica   (Sistemas de Información y Tecnologia)</v>
      </c>
      <c r="U568" s="249" t="str">
        <f>CONCATENATE(S568,"-",T568)</f>
        <v>11-Infraestructura Tecnológica   (Sistemas de Información y Tecnologia)</v>
      </c>
      <c r="V568" s="51" t="s">
        <v>235</v>
      </c>
      <c r="W568" s="248" t="str">
        <f>IFERROR(VLOOKUP(V568,TD!$N$34:$O$46,2,0)," ")</f>
        <v>"Servicio de monitoreo y seguimiento para la gestión del riesgo"</v>
      </c>
      <c r="X568" s="249" t="str">
        <f>CONCATENATE(V568,"_",W568)</f>
        <v>018_"Servicio de monitoreo y seguimiento para la gestión del riesgo"</v>
      </c>
      <c r="Y568" s="249" t="str">
        <f>CONCATENATE(U568," ",X568)</f>
        <v>11-Infraestructura Tecnológica   (Sistemas de Información y Tecnologia) 018_"Servicio de monitoreo y seguimiento para la gestión del riesgo"</v>
      </c>
      <c r="Z568" s="248" t="str">
        <f>CONCATENATE(P568,Q568,R568,S568,V568)</f>
        <v>O23011745032024025511018</v>
      </c>
      <c r="AA568" s="248" t="str">
        <f>IFERROR(VLOOKUP(Y568,TD!$K$47:$L$65,2,0)," ")</f>
        <v>PM/0131/0111/45030180255</v>
      </c>
      <c r="AB568" s="53" t="s">
        <v>138</v>
      </c>
      <c r="AC568" s="250" t="s">
        <v>205</v>
      </c>
    </row>
    <row r="569" spans="2:29" s="28" customFormat="1" ht="56" x14ac:dyDescent="0.35">
      <c r="B569" s="77">
        <v>20250629</v>
      </c>
      <c r="C569" s="50" t="s">
        <v>209</v>
      </c>
      <c r="D569" s="246" t="s">
        <v>167</v>
      </c>
      <c r="E569" s="51" t="s">
        <v>505</v>
      </c>
      <c r="F569" s="246" t="s">
        <v>818</v>
      </c>
      <c r="G569" s="246" t="s">
        <v>96</v>
      </c>
      <c r="H569" s="93" t="s">
        <v>375</v>
      </c>
      <c r="I569" s="247">
        <v>2</v>
      </c>
      <c r="J569" s="247">
        <v>3</v>
      </c>
      <c r="K569" s="52">
        <v>0</v>
      </c>
      <c r="L569" s="53">
        <f>215000000-1410000-15812910</f>
        <v>197777090</v>
      </c>
      <c r="M569" s="246" t="s">
        <v>464</v>
      </c>
      <c r="N569" s="53" t="s">
        <v>85</v>
      </c>
      <c r="O569" s="51" t="s">
        <v>221</v>
      </c>
      <c r="P569" s="248" t="str">
        <f>IFERROR(VLOOKUP(C569,TD!$B$33:$F$37,2,0)," ")</f>
        <v>O230117</v>
      </c>
      <c r="Q569" s="248" t="str">
        <f>IFERROR(VLOOKUP(C569,TD!$B$33:$F$37,3,0)," ")</f>
        <v>4503</v>
      </c>
      <c r="R569" s="248">
        <f>IFERROR(VLOOKUP(C569,TD!$B$33:$F$37,4,0)," ")</f>
        <v>20240255</v>
      </c>
      <c r="S569" s="51" t="s">
        <v>177</v>
      </c>
      <c r="T569" s="248" t="str">
        <f>IFERROR(VLOOKUP(S569,TD!$J$34:$K$44,2,0)," ")</f>
        <v>Servicio de capacitaciones en gestión del riesgo de incendios  a la ciudadania.</v>
      </c>
      <c r="U569" s="249" t="str">
        <f>CONCATENATE(S569,"-",T569)</f>
        <v>05-Servicio de capacitaciones en gestión del riesgo de incendios  a la ciudadania.</v>
      </c>
      <c r="V569" s="51" t="s">
        <v>233</v>
      </c>
      <c r="W569" s="248" t="str">
        <f>IFERROR(VLOOKUP(V569,TD!$N$34:$O$46,2,0)," ")</f>
        <v>Servicio de educación informal</v>
      </c>
      <c r="X569" s="249" t="str">
        <f>CONCATENATE(V569,"_",W569)</f>
        <v>002_Servicio de educación informal</v>
      </c>
      <c r="Y569" s="249" t="str">
        <f>CONCATENATE(U569," ",X569)</f>
        <v>05-Servicio de capacitaciones en gestión del riesgo de incendios  a la ciudadania. 002_Servicio de educación informal</v>
      </c>
      <c r="Z569" s="248" t="str">
        <f>CONCATENATE(P569,Q569,R569,S569,V569)</f>
        <v>O23011745032024025505002</v>
      </c>
      <c r="AA569" s="248" t="str">
        <f>IFERROR(VLOOKUP(Y569,TD!$K$47:$L$65,2,0)," ")</f>
        <v>PM/0131/0105/45030020255</v>
      </c>
      <c r="AB569" s="53" t="s">
        <v>138</v>
      </c>
      <c r="AC569" s="250" t="s">
        <v>205</v>
      </c>
    </row>
    <row r="570" spans="2:29" s="28" customFormat="1" ht="42" x14ac:dyDescent="0.35">
      <c r="B570" s="127">
        <v>20250630</v>
      </c>
      <c r="C570" s="129" t="s">
        <v>209</v>
      </c>
      <c r="D570" s="251" t="s">
        <v>169</v>
      </c>
      <c r="E570" s="252" t="s">
        <v>465</v>
      </c>
      <c r="F570" s="251" t="s">
        <v>821</v>
      </c>
      <c r="G570" s="251" t="s">
        <v>155</v>
      </c>
      <c r="H570" s="130">
        <v>80111600</v>
      </c>
      <c r="I570" s="253">
        <v>2</v>
      </c>
      <c r="J570" s="253">
        <v>10</v>
      </c>
      <c r="K570" s="126">
        <v>0</v>
      </c>
      <c r="L570" s="125">
        <v>33333333</v>
      </c>
      <c r="M570" s="251" t="s">
        <v>464</v>
      </c>
      <c r="N570" s="125" t="s">
        <v>113</v>
      </c>
      <c r="O570" s="252" t="s">
        <v>222</v>
      </c>
      <c r="P570" s="254" t="str">
        <f>IFERROR(VLOOKUP(C570,TD!$B$33:$F$37,2,0)," ")</f>
        <v>O230117</v>
      </c>
      <c r="Q570" s="254" t="str">
        <f>IFERROR(VLOOKUP(C570,TD!$B$33:$F$37,3,0)," ")</f>
        <v>4503</v>
      </c>
      <c r="R570" s="254">
        <f>IFERROR(VLOOKUP(C570,TD!$B$33:$F$37,4,0)," ")</f>
        <v>20240255</v>
      </c>
      <c r="S570" s="252" t="s">
        <v>175</v>
      </c>
      <c r="T570" s="254" t="str">
        <f>IFERROR(VLOOKUP(S570,TD!$J$34:$K$44,2,0)," ")</f>
        <v>Servicio de atención a incidentes y emergencias.</v>
      </c>
      <c r="U570" s="249" t="str">
        <f>CONCATENATE(S570,"-",T570)</f>
        <v>04-Servicio de atención a incidentes y emergencias.</v>
      </c>
      <c r="V570" s="252" t="s">
        <v>232</v>
      </c>
      <c r="W570" s="254" t="str">
        <f>IFERROR(VLOOKUP(V570,TD!$N$34:$O$46,2,0)," ")</f>
        <v>Servicio de atención a emergencias y desastres</v>
      </c>
      <c r="X570" s="249" t="str">
        <f>CONCATENATE(V570,"_",W570)</f>
        <v>004_Servicio de atención a emergencias y desastres</v>
      </c>
      <c r="Y570" s="249" t="str">
        <f>CONCATENATE(U570," ",X570)</f>
        <v>04-Servicio de atención a incidentes y emergencias. 004_Servicio de atención a emergencias y desastres</v>
      </c>
      <c r="Z570" s="254" t="str">
        <f>CONCATENATE(P570,Q570,R570,S570,V570)</f>
        <v>O23011745032024025504004</v>
      </c>
      <c r="AA570" s="254" t="str">
        <f>IFERROR(VLOOKUP(Y570,TD!$K$47:$L$65,2,0)," ")</f>
        <v>PM/0131/0104/45030040255</v>
      </c>
      <c r="AB570" s="125" t="s">
        <v>138</v>
      </c>
      <c r="AC570" s="255" t="s">
        <v>204</v>
      </c>
    </row>
    <row r="571" spans="2:29" s="28" customFormat="1" ht="42" x14ac:dyDescent="0.35">
      <c r="B571" s="77">
        <v>20250631</v>
      </c>
      <c r="C571" s="50" t="s">
        <v>209</v>
      </c>
      <c r="D571" s="246" t="s">
        <v>169</v>
      </c>
      <c r="E571" s="51" t="s">
        <v>465</v>
      </c>
      <c r="F571" s="246" t="s">
        <v>822</v>
      </c>
      <c r="G571" s="246" t="s">
        <v>155</v>
      </c>
      <c r="H571" s="93">
        <v>80111600</v>
      </c>
      <c r="I571" s="247">
        <v>2</v>
      </c>
      <c r="J571" s="247">
        <v>10</v>
      </c>
      <c r="K571" s="52">
        <v>0</v>
      </c>
      <c r="L571" s="53">
        <v>70000000</v>
      </c>
      <c r="M571" s="246" t="s">
        <v>464</v>
      </c>
      <c r="N571" s="53" t="s">
        <v>113</v>
      </c>
      <c r="O571" s="51" t="s">
        <v>222</v>
      </c>
      <c r="P571" s="248" t="str">
        <f>IFERROR(VLOOKUP(C571,TD!$B$33:$F$37,2,0)," ")</f>
        <v>O230117</v>
      </c>
      <c r="Q571" s="248" t="str">
        <f>IFERROR(VLOOKUP(C571,TD!$B$33:$F$37,3,0)," ")</f>
        <v>4503</v>
      </c>
      <c r="R571" s="248">
        <f>IFERROR(VLOOKUP(C571,TD!$B$33:$F$37,4,0)," ")</f>
        <v>20240255</v>
      </c>
      <c r="S571" s="51" t="s">
        <v>175</v>
      </c>
      <c r="T571" s="248" t="str">
        <f>IFERROR(VLOOKUP(S571,TD!$J$34:$K$44,2,0)," ")</f>
        <v>Servicio de atención a incidentes y emergencias.</v>
      </c>
      <c r="U571" s="249" t="str">
        <f>CONCATENATE(S571,"-",T571)</f>
        <v>04-Servicio de atención a incidentes y emergencias.</v>
      </c>
      <c r="V571" s="51" t="s">
        <v>232</v>
      </c>
      <c r="W571" s="248" t="str">
        <f>IFERROR(VLOOKUP(V571,TD!$N$34:$O$46,2,0)," ")</f>
        <v>Servicio de atención a emergencias y desastres</v>
      </c>
      <c r="X571" s="249" t="str">
        <f>CONCATENATE(V571,"_",W571)</f>
        <v>004_Servicio de atención a emergencias y desastres</v>
      </c>
      <c r="Y571" s="249" t="str">
        <f>CONCATENATE(U571," ",X571)</f>
        <v>04-Servicio de atención a incidentes y emergencias. 004_Servicio de atención a emergencias y desastres</v>
      </c>
      <c r="Z571" s="248" t="str">
        <f>CONCATENATE(P571,Q571,R571,S571,V571)</f>
        <v>O23011745032024025504004</v>
      </c>
      <c r="AA571" s="248" t="str">
        <f>IFERROR(VLOOKUP(Y571,TD!$K$47:$L$65,2,0)," ")</f>
        <v>PM/0131/0104/45030040255</v>
      </c>
      <c r="AB571" s="53" t="s">
        <v>138</v>
      </c>
      <c r="AC571" s="250" t="s">
        <v>204</v>
      </c>
    </row>
    <row r="572" spans="2:29" s="28" customFormat="1" ht="180.5" customHeight="1" x14ac:dyDescent="0.35">
      <c r="B572" s="77">
        <v>20250632</v>
      </c>
      <c r="C572" s="50" t="s">
        <v>209</v>
      </c>
      <c r="D572" s="246" t="s">
        <v>169</v>
      </c>
      <c r="E572" s="51" t="s">
        <v>465</v>
      </c>
      <c r="F572" s="246" t="s">
        <v>823</v>
      </c>
      <c r="G572" s="246" t="s">
        <v>155</v>
      </c>
      <c r="H572" s="93">
        <v>80111600</v>
      </c>
      <c r="I572" s="247">
        <v>2</v>
      </c>
      <c r="J572" s="247">
        <v>10</v>
      </c>
      <c r="K572" s="52">
        <v>0</v>
      </c>
      <c r="L572" s="53">
        <v>70000000</v>
      </c>
      <c r="M572" s="246" t="s">
        <v>464</v>
      </c>
      <c r="N572" s="53" t="s">
        <v>113</v>
      </c>
      <c r="O572" s="51" t="s">
        <v>222</v>
      </c>
      <c r="P572" s="248" t="str">
        <f>IFERROR(VLOOKUP(C572,TD!$B$33:$F$37,2,0)," ")</f>
        <v>O230117</v>
      </c>
      <c r="Q572" s="248" t="str">
        <f>IFERROR(VLOOKUP(C572,TD!$B$33:$F$37,3,0)," ")</f>
        <v>4503</v>
      </c>
      <c r="R572" s="248">
        <f>IFERROR(VLOOKUP(C572,TD!$B$33:$F$37,4,0)," ")</f>
        <v>20240255</v>
      </c>
      <c r="S572" s="51" t="s">
        <v>175</v>
      </c>
      <c r="T572" s="248" t="str">
        <f>IFERROR(VLOOKUP(S572,TD!$J$34:$K$44,2,0)," ")</f>
        <v>Servicio de atención a incidentes y emergencias.</v>
      </c>
      <c r="U572" s="249" t="str">
        <f>CONCATENATE(S572,"-",T572)</f>
        <v>04-Servicio de atención a incidentes y emergencias.</v>
      </c>
      <c r="V572" s="51" t="s">
        <v>232</v>
      </c>
      <c r="W572" s="248" t="str">
        <f>IFERROR(VLOOKUP(V572,TD!$N$34:$O$46,2,0)," ")</f>
        <v>Servicio de atención a emergencias y desastres</v>
      </c>
      <c r="X572" s="249" t="str">
        <f>CONCATENATE(V572,"_",W572)</f>
        <v>004_Servicio de atención a emergencias y desastres</v>
      </c>
      <c r="Y572" s="249" t="str">
        <f>CONCATENATE(U572," ",X572)</f>
        <v>04-Servicio de atención a incidentes y emergencias. 004_Servicio de atención a emergencias y desastres</v>
      </c>
      <c r="Z572" s="248" t="str">
        <f>CONCATENATE(P572,Q572,R572,S572,V572)</f>
        <v>O23011745032024025504004</v>
      </c>
      <c r="AA572" s="248" t="str">
        <f>IFERROR(VLOOKUP(Y572,TD!$K$47:$L$65,2,0)," ")</f>
        <v>PM/0131/0104/45030040255</v>
      </c>
      <c r="AB572" s="53" t="s">
        <v>138</v>
      </c>
      <c r="AC572" s="250" t="s">
        <v>204</v>
      </c>
    </row>
    <row r="573" spans="2:29" s="28" customFormat="1" ht="70" x14ac:dyDescent="0.35">
      <c r="B573" s="77">
        <v>20250633</v>
      </c>
      <c r="C573" s="50" t="s">
        <v>209</v>
      </c>
      <c r="D573" s="246" t="s">
        <v>169</v>
      </c>
      <c r="E573" s="51" t="s">
        <v>465</v>
      </c>
      <c r="F573" s="246" t="s">
        <v>824</v>
      </c>
      <c r="G573" s="246" t="s">
        <v>155</v>
      </c>
      <c r="H573" s="93">
        <v>80111600</v>
      </c>
      <c r="I573" s="247">
        <v>2</v>
      </c>
      <c r="J573" s="247">
        <v>10</v>
      </c>
      <c r="K573" s="52">
        <v>0</v>
      </c>
      <c r="L573" s="53">
        <v>65000000</v>
      </c>
      <c r="M573" s="246" t="s">
        <v>464</v>
      </c>
      <c r="N573" s="53" t="s">
        <v>113</v>
      </c>
      <c r="O573" s="51" t="s">
        <v>222</v>
      </c>
      <c r="P573" s="248" t="str">
        <f>IFERROR(VLOOKUP(C573,TD!$B$33:$F$37,2,0)," ")</f>
        <v>O230117</v>
      </c>
      <c r="Q573" s="248" t="str">
        <f>IFERROR(VLOOKUP(C573,TD!$B$33:$F$37,3,0)," ")</f>
        <v>4503</v>
      </c>
      <c r="R573" s="248">
        <f>IFERROR(VLOOKUP(C573,TD!$B$33:$F$37,4,0)," ")</f>
        <v>20240255</v>
      </c>
      <c r="S573" s="51" t="s">
        <v>175</v>
      </c>
      <c r="T573" s="248" t="str">
        <f>IFERROR(VLOOKUP(S573,TD!$J$34:$K$44,2,0)," ")</f>
        <v>Servicio de atención a incidentes y emergencias.</v>
      </c>
      <c r="U573" s="249" t="str">
        <f>CONCATENATE(S573,"-",T573)</f>
        <v>04-Servicio de atención a incidentes y emergencias.</v>
      </c>
      <c r="V573" s="51" t="s">
        <v>232</v>
      </c>
      <c r="W573" s="248" t="str">
        <f>IFERROR(VLOOKUP(V573,TD!$N$34:$O$46,2,0)," ")</f>
        <v>Servicio de atención a emergencias y desastres</v>
      </c>
      <c r="X573" s="249" t="str">
        <f>CONCATENATE(V573,"_",W573)</f>
        <v>004_Servicio de atención a emergencias y desastres</v>
      </c>
      <c r="Y573" s="249" t="str">
        <f>CONCATENATE(U573," ",X573)</f>
        <v>04-Servicio de atención a incidentes y emergencias. 004_Servicio de atención a emergencias y desastres</v>
      </c>
      <c r="Z573" s="248" t="str">
        <f>CONCATENATE(P573,Q573,R573,S573,V573)</f>
        <v>O23011745032024025504004</v>
      </c>
      <c r="AA573" s="248" t="str">
        <f>IFERROR(VLOOKUP(Y573,TD!$K$47:$L$65,2,0)," ")</f>
        <v>PM/0131/0104/45030040255</v>
      </c>
      <c r="AB573" s="53" t="s">
        <v>138</v>
      </c>
      <c r="AC573" s="250" t="s">
        <v>204</v>
      </c>
    </row>
    <row r="574" spans="2:29" s="28" customFormat="1" ht="70" x14ac:dyDescent="0.35">
      <c r="B574" s="77">
        <v>20250635</v>
      </c>
      <c r="C574" s="50" t="s">
        <v>209</v>
      </c>
      <c r="D574" s="246" t="s">
        <v>169</v>
      </c>
      <c r="E574" s="51" t="s">
        <v>465</v>
      </c>
      <c r="F574" s="246" t="s">
        <v>825</v>
      </c>
      <c r="G574" s="246" t="s">
        <v>155</v>
      </c>
      <c r="H574" s="93">
        <v>80111600</v>
      </c>
      <c r="I574" s="247">
        <v>2</v>
      </c>
      <c r="J574" s="247">
        <v>9</v>
      </c>
      <c r="K574" s="52">
        <v>15</v>
      </c>
      <c r="L574" s="53">
        <v>66500000</v>
      </c>
      <c r="M574" s="246" t="s">
        <v>464</v>
      </c>
      <c r="N574" s="53" t="s">
        <v>113</v>
      </c>
      <c r="O574" s="51" t="s">
        <v>222</v>
      </c>
      <c r="P574" s="248" t="str">
        <f>IFERROR(VLOOKUP(C574,TD!$B$33:$F$37,2,0)," ")</f>
        <v>O230117</v>
      </c>
      <c r="Q574" s="248" t="str">
        <f>IFERROR(VLOOKUP(C574,TD!$B$33:$F$37,3,0)," ")</f>
        <v>4503</v>
      </c>
      <c r="R574" s="248">
        <f>IFERROR(VLOOKUP(C574,TD!$B$33:$F$37,4,0)," ")</f>
        <v>20240255</v>
      </c>
      <c r="S574" s="51" t="s">
        <v>175</v>
      </c>
      <c r="T574" s="248" t="str">
        <f>IFERROR(VLOOKUP(S574,TD!$J$34:$K$44,2,0)," ")</f>
        <v>Servicio de atención a incidentes y emergencias.</v>
      </c>
      <c r="U574" s="249" t="str">
        <f>CONCATENATE(S574,"-",T574)</f>
        <v>04-Servicio de atención a incidentes y emergencias.</v>
      </c>
      <c r="V574" s="51" t="s">
        <v>232</v>
      </c>
      <c r="W574" s="248" t="str">
        <f>IFERROR(VLOOKUP(V574,TD!$N$34:$O$46,2,0)," ")</f>
        <v>Servicio de atención a emergencias y desastres</v>
      </c>
      <c r="X574" s="249" t="str">
        <f>CONCATENATE(V574,"_",W574)</f>
        <v>004_Servicio de atención a emergencias y desastres</v>
      </c>
      <c r="Y574" s="249" t="str">
        <f>CONCATENATE(U574," ",X574)</f>
        <v>04-Servicio de atención a incidentes y emergencias. 004_Servicio de atención a emergencias y desastres</v>
      </c>
      <c r="Z574" s="248" t="str">
        <f>CONCATENATE(P574,Q574,R574,S574,V574)</f>
        <v>O23011745032024025504004</v>
      </c>
      <c r="AA574" s="248" t="str">
        <f>IFERROR(VLOOKUP(Y574,TD!$K$47:$L$65,2,0)," ")</f>
        <v>PM/0131/0104/45030040255</v>
      </c>
      <c r="AB574" s="53" t="s">
        <v>138</v>
      </c>
      <c r="AC574" s="250" t="s">
        <v>204</v>
      </c>
    </row>
    <row r="575" spans="2:29" s="28" customFormat="1" ht="56" x14ac:dyDescent="0.35">
      <c r="B575" s="77">
        <v>20250636</v>
      </c>
      <c r="C575" s="50" t="s">
        <v>209</v>
      </c>
      <c r="D575" s="246" t="s">
        <v>169</v>
      </c>
      <c r="E575" s="51" t="s">
        <v>465</v>
      </c>
      <c r="F575" s="246" t="s">
        <v>826</v>
      </c>
      <c r="G575" s="246" t="s">
        <v>155</v>
      </c>
      <c r="H575" s="93">
        <v>80111600</v>
      </c>
      <c r="I575" s="247">
        <v>2</v>
      </c>
      <c r="J575" s="247">
        <v>10</v>
      </c>
      <c r="K575" s="52">
        <v>0</v>
      </c>
      <c r="L575" s="53">
        <v>66500000</v>
      </c>
      <c r="M575" s="246" t="s">
        <v>464</v>
      </c>
      <c r="N575" s="53" t="s">
        <v>113</v>
      </c>
      <c r="O575" s="51" t="s">
        <v>222</v>
      </c>
      <c r="P575" s="248" t="str">
        <f>IFERROR(VLOOKUP(C575,TD!$B$33:$F$37,2,0)," ")</f>
        <v>O230117</v>
      </c>
      <c r="Q575" s="248" t="str">
        <f>IFERROR(VLOOKUP(C575,TD!$B$33:$F$37,3,0)," ")</f>
        <v>4503</v>
      </c>
      <c r="R575" s="248">
        <f>IFERROR(VLOOKUP(C575,TD!$B$33:$F$37,4,0)," ")</f>
        <v>20240255</v>
      </c>
      <c r="S575" s="51" t="s">
        <v>175</v>
      </c>
      <c r="T575" s="248" t="str">
        <f>IFERROR(VLOOKUP(S575,TD!$J$34:$K$44,2,0)," ")</f>
        <v>Servicio de atención a incidentes y emergencias.</v>
      </c>
      <c r="U575" s="249" t="str">
        <f>CONCATENATE(S575,"-",T575)</f>
        <v>04-Servicio de atención a incidentes y emergencias.</v>
      </c>
      <c r="V575" s="51" t="s">
        <v>232</v>
      </c>
      <c r="W575" s="248" t="str">
        <f>IFERROR(VLOOKUP(V575,TD!$N$34:$O$46,2,0)," ")</f>
        <v>Servicio de atención a emergencias y desastres</v>
      </c>
      <c r="X575" s="249" t="str">
        <f>CONCATENATE(V575,"_",W575)</f>
        <v>004_Servicio de atención a emergencias y desastres</v>
      </c>
      <c r="Y575" s="249" t="str">
        <f>CONCATENATE(U575," ",X575)</f>
        <v>04-Servicio de atención a incidentes y emergencias. 004_Servicio de atención a emergencias y desastres</v>
      </c>
      <c r="Z575" s="248" t="str">
        <f>CONCATENATE(P575,Q575,R575,S575,V575)</f>
        <v>O23011745032024025504004</v>
      </c>
      <c r="AA575" s="248" t="str">
        <f>IFERROR(VLOOKUP(Y575,TD!$K$47:$L$65,2,0)," ")</f>
        <v>PM/0131/0104/45030040255</v>
      </c>
      <c r="AB575" s="53" t="s">
        <v>138</v>
      </c>
      <c r="AC575" s="250" t="s">
        <v>204</v>
      </c>
    </row>
    <row r="576" spans="2:29" s="28" customFormat="1" ht="56" x14ac:dyDescent="0.35">
      <c r="B576" s="77">
        <v>20250637</v>
      </c>
      <c r="C576" s="50" t="s">
        <v>209</v>
      </c>
      <c r="D576" s="246" t="s">
        <v>169</v>
      </c>
      <c r="E576" s="51" t="s">
        <v>465</v>
      </c>
      <c r="F576" s="246" t="s">
        <v>827</v>
      </c>
      <c r="G576" s="246" t="s">
        <v>156</v>
      </c>
      <c r="H576" s="93">
        <v>80111600</v>
      </c>
      <c r="I576" s="247">
        <v>2</v>
      </c>
      <c r="J576" s="247">
        <v>10</v>
      </c>
      <c r="K576" s="52">
        <v>0</v>
      </c>
      <c r="L576" s="53">
        <v>28500000</v>
      </c>
      <c r="M576" s="246" t="s">
        <v>464</v>
      </c>
      <c r="N576" s="53" t="s">
        <v>113</v>
      </c>
      <c r="O576" s="51" t="s">
        <v>222</v>
      </c>
      <c r="P576" s="248" t="str">
        <f>IFERROR(VLOOKUP(C576,TD!$B$33:$F$37,2,0)," ")</f>
        <v>O230117</v>
      </c>
      <c r="Q576" s="248" t="str">
        <f>IFERROR(VLOOKUP(C576,TD!$B$33:$F$37,3,0)," ")</f>
        <v>4503</v>
      </c>
      <c r="R576" s="248">
        <f>IFERROR(VLOOKUP(C576,TD!$B$33:$F$37,4,0)," ")</f>
        <v>20240255</v>
      </c>
      <c r="S576" s="51" t="s">
        <v>175</v>
      </c>
      <c r="T576" s="248" t="str">
        <f>IFERROR(VLOOKUP(S576,TD!$J$34:$K$44,2,0)," ")</f>
        <v>Servicio de atención a incidentes y emergencias.</v>
      </c>
      <c r="U576" s="249" t="str">
        <f>CONCATENATE(S576,"-",T576)</f>
        <v>04-Servicio de atención a incidentes y emergencias.</v>
      </c>
      <c r="V576" s="51" t="s">
        <v>232</v>
      </c>
      <c r="W576" s="248" t="str">
        <f>IFERROR(VLOOKUP(V576,TD!$N$34:$O$46,2,0)," ")</f>
        <v>Servicio de atención a emergencias y desastres</v>
      </c>
      <c r="X576" s="249" t="str">
        <f>CONCATENATE(V576,"_",W576)</f>
        <v>004_Servicio de atención a emergencias y desastres</v>
      </c>
      <c r="Y576" s="249" t="str">
        <f>CONCATENATE(U576," ",X576)</f>
        <v>04-Servicio de atención a incidentes y emergencias. 004_Servicio de atención a emergencias y desastres</v>
      </c>
      <c r="Z576" s="248" t="str">
        <f>CONCATENATE(P576,Q576,R576,S576,V576)</f>
        <v>O23011745032024025504004</v>
      </c>
      <c r="AA576" s="248" t="str">
        <f>IFERROR(VLOOKUP(Y576,TD!$K$47:$L$65,2,0)," ")</f>
        <v>PM/0131/0104/45030040255</v>
      </c>
      <c r="AB576" s="53" t="s">
        <v>138</v>
      </c>
      <c r="AC576" s="250" t="s">
        <v>204</v>
      </c>
    </row>
    <row r="577" spans="2:29" s="28" customFormat="1" ht="56" x14ac:dyDescent="0.35">
      <c r="B577" s="77">
        <v>20250638</v>
      </c>
      <c r="C577" s="50" t="s">
        <v>209</v>
      </c>
      <c r="D577" s="246" t="s">
        <v>169</v>
      </c>
      <c r="E577" s="51" t="s">
        <v>465</v>
      </c>
      <c r="F577" s="246" t="s">
        <v>828</v>
      </c>
      <c r="G577" s="246" t="s">
        <v>109</v>
      </c>
      <c r="H577" s="93" t="s">
        <v>830</v>
      </c>
      <c r="I577" s="247">
        <v>5</v>
      </c>
      <c r="J577" s="247">
        <v>3</v>
      </c>
      <c r="K577" s="52">
        <v>0</v>
      </c>
      <c r="L577" s="53">
        <v>60301000</v>
      </c>
      <c r="M577" s="246" t="s">
        <v>464</v>
      </c>
      <c r="N577" s="53" t="s">
        <v>100</v>
      </c>
      <c r="O577" s="51" t="s">
        <v>222</v>
      </c>
      <c r="P577" s="248" t="str">
        <f>IFERROR(VLOOKUP(C577,TD!$B$33:$F$37,2,0)," ")</f>
        <v>O230117</v>
      </c>
      <c r="Q577" s="248" t="str">
        <f>IFERROR(VLOOKUP(C577,TD!$B$33:$F$37,3,0)," ")</f>
        <v>4503</v>
      </c>
      <c r="R577" s="248">
        <f>IFERROR(VLOOKUP(C577,TD!$B$33:$F$37,4,0)," ")</f>
        <v>20240255</v>
      </c>
      <c r="S577" s="51" t="s">
        <v>189</v>
      </c>
      <c r="T577" s="248" t="str">
        <f>IFERROR(VLOOKUP(S577,TD!$J$34:$K$44,2,0)," ")</f>
        <v>Servicio de dotación y equipamento para el personal operativo</v>
      </c>
      <c r="U577" s="249" t="str">
        <f>CONCATENATE(S577,"-",T577)</f>
        <v>10-Servicio de dotación y equipamento para el personal operativo</v>
      </c>
      <c r="V577" s="51" t="s">
        <v>232</v>
      </c>
      <c r="W577" s="248" t="str">
        <f>IFERROR(VLOOKUP(V577,TD!$N$34:$O$46,2,0)," ")</f>
        <v>Servicio de atención a emergencias y desastres</v>
      </c>
      <c r="X577" s="249" t="str">
        <f>CONCATENATE(V577,"_",W577)</f>
        <v>004_Servicio de atención a emergencias y desastres</v>
      </c>
      <c r="Y577" s="249" t="str">
        <f>CONCATENATE(U577," ",X577)</f>
        <v>10-Servicio de dotación y equipamento para el personal operativo 004_Servicio de atención a emergencias y desastres</v>
      </c>
      <c r="Z577" s="248" t="str">
        <f>CONCATENATE(P577,Q577,R577,S577,V577)</f>
        <v>O23011745032024025510004</v>
      </c>
      <c r="AA577" s="248" t="str">
        <f>IFERROR(VLOOKUP(Y577,TD!$K$47:$L$65,2,0)," ")</f>
        <v>PM/0131/0110/45030040255</v>
      </c>
      <c r="AB577" s="53" t="s">
        <v>87</v>
      </c>
      <c r="AC577" s="250" t="s">
        <v>204</v>
      </c>
    </row>
    <row r="578" spans="2:29" s="28" customFormat="1" ht="56" x14ac:dyDescent="0.35">
      <c r="B578" s="77">
        <v>20250639</v>
      </c>
      <c r="C578" s="50" t="s">
        <v>209</v>
      </c>
      <c r="D578" s="246" t="s">
        <v>169</v>
      </c>
      <c r="E578" s="51" t="s">
        <v>465</v>
      </c>
      <c r="F578" s="246" t="s">
        <v>829</v>
      </c>
      <c r="G578" s="246" t="s">
        <v>109</v>
      </c>
      <c r="H578" s="93" t="s">
        <v>1303</v>
      </c>
      <c r="I578" s="247">
        <v>5</v>
      </c>
      <c r="J578" s="247">
        <v>3</v>
      </c>
      <c r="K578" s="52">
        <v>0</v>
      </c>
      <c r="L578" s="53">
        <v>53930210</v>
      </c>
      <c r="M578" s="246" t="s">
        <v>464</v>
      </c>
      <c r="N578" s="53" t="s">
        <v>100</v>
      </c>
      <c r="O578" s="51" t="s">
        <v>222</v>
      </c>
      <c r="P578" s="248" t="str">
        <f>IFERROR(VLOOKUP(C578,TD!$B$33:$F$37,2,0)," ")</f>
        <v>O230117</v>
      </c>
      <c r="Q578" s="248" t="str">
        <f>IFERROR(VLOOKUP(C578,TD!$B$33:$F$37,3,0)," ")</f>
        <v>4503</v>
      </c>
      <c r="R578" s="248">
        <f>IFERROR(VLOOKUP(C578,TD!$B$33:$F$37,4,0)," ")</f>
        <v>20240255</v>
      </c>
      <c r="S578" s="51" t="s">
        <v>189</v>
      </c>
      <c r="T578" s="248" t="str">
        <f>IFERROR(VLOOKUP(S578,TD!$J$34:$K$44,2,0)," ")</f>
        <v>Servicio de dotación y equipamento para el personal operativo</v>
      </c>
      <c r="U578" s="249" t="str">
        <f>CONCATENATE(S578,"-",T578)</f>
        <v>10-Servicio de dotación y equipamento para el personal operativo</v>
      </c>
      <c r="V578" s="51" t="s">
        <v>232</v>
      </c>
      <c r="W578" s="248" t="str">
        <f>IFERROR(VLOOKUP(V578,TD!$N$34:$O$46,2,0)," ")</f>
        <v>Servicio de atención a emergencias y desastres</v>
      </c>
      <c r="X578" s="249" t="str">
        <f>CONCATENATE(V578,"_",W578)</f>
        <v>004_Servicio de atención a emergencias y desastres</v>
      </c>
      <c r="Y578" s="249" t="str">
        <f>CONCATENATE(U578," ",X578)</f>
        <v>10-Servicio de dotación y equipamento para el personal operativo 004_Servicio de atención a emergencias y desastres</v>
      </c>
      <c r="Z578" s="248" t="str">
        <f>CONCATENATE(P578,Q578,R578,S578,V578)</f>
        <v>O23011745032024025510004</v>
      </c>
      <c r="AA578" s="248" t="str">
        <f>IFERROR(VLOOKUP(Y578,TD!$K$47:$L$65,2,0)," ")</f>
        <v>PM/0131/0110/45030040255</v>
      </c>
      <c r="AB578" s="53" t="s">
        <v>87</v>
      </c>
      <c r="AC578" s="250" t="s">
        <v>204</v>
      </c>
    </row>
    <row r="579" spans="2:29" s="28" customFormat="1" ht="42" x14ac:dyDescent="0.35">
      <c r="B579" s="77">
        <v>20250640</v>
      </c>
      <c r="C579" s="50" t="s">
        <v>209</v>
      </c>
      <c r="D579" s="246" t="s">
        <v>169</v>
      </c>
      <c r="E579" s="51" t="s">
        <v>465</v>
      </c>
      <c r="F579" s="246" t="s">
        <v>833</v>
      </c>
      <c r="G579" s="246" t="s">
        <v>155</v>
      </c>
      <c r="H579" s="93">
        <v>80111600</v>
      </c>
      <c r="I579" s="247">
        <v>3</v>
      </c>
      <c r="J579" s="247">
        <v>10</v>
      </c>
      <c r="K579" s="52">
        <v>0</v>
      </c>
      <c r="L579" s="53">
        <v>65000000</v>
      </c>
      <c r="M579" s="246" t="s">
        <v>464</v>
      </c>
      <c r="N579" s="53" t="s">
        <v>113</v>
      </c>
      <c r="O579" s="51" t="s">
        <v>222</v>
      </c>
      <c r="P579" s="248" t="str">
        <f>IFERROR(VLOOKUP(C579,TD!$B$33:$F$37,2,0)," ")</f>
        <v>O230117</v>
      </c>
      <c r="Q579" s="248" t="str">
        <f>IFERROR(VLOOKUP(C579,TD!$B$33:$F$37,3,0)," ")</f>
        <v>4503</v>
      </c>
      <c r="R579" s="248">
        <f>IFERROR(VLOOKUP(C579,TD!$B$33:$F$37,4,0)," ")</f>
        <v>20240255</v>
      </c>
      <c r="S579" s="51" t="s">
        <v>175</v>
      </c>
      <c r="T579" s="248" t="str">
        <f>IFERROR(VLOOKUP(S579,TD!$J$34:$K$44,2,0)," ")</f>
        <v>Servicio de atención a incidentes y emergencias.</v>
      </c>
      <c r="U579" s="249" t="str">
        <f>CONCATENATE(S579,"-",T579)</f>
        <v>04-Servicio de atención a incidentes y emergencias.</v>
      </c>
      <c r="V579" s="51" t="s">
        <v>232</v>
      </c>
      <c r="W579" s="248" t="str">
        <f>IFERROR(VLOOKUP(V579,TD!$N$34:$O$46,2,0)," ")</f>
        <v>Servicio de atención a emergencias y desastres</v>
      </c>
      <c r="X579" s="249" t="str">
        <f>CONCATENATE(V579,"_",W579)</f>
        <v>004_Servicio de atención a emergencias y desastres</v>
      </c>
      <c r="Y579" s="249" t="str">
        <f>CONCATENATE(U579," ",X579)</f>
        <v>04-Servicio de atención a incidentes y emergencias. 004_Servicio de atención a emergencias y desastres</v>
      </c>
      <c r="Z579" s="248" t="str">
        <f>CONCATENATE(P579,Q579,R579,S579,V579)</f>
        <v>O23011745032024025504004</v>
      </c>
      <c r="AA579" s="248" t="str">
        <f>IFERROR(VLOOKUP(Y579,TD!$K$47:$L$65,2,0)," ")</f>
        <v>PM/0131/0104/45030040255</v>
      </c>
      <c r="AB579" s="53" t="s">
        <v>138</v>
      </c>
      <c r="AC579" s="250" t="s">
        <v>204</v>
      </c>
    </row>
    <row r="580" spans="2:29" s="28" customFormat="1" ht="42" x14ac:dyDescent="0.35">
      <c r="B580" s="127">
        <v>20250641</v>
      </c>
      <c r="C580" s="129" t="s">
        <v>209</v>
      </c>
      <c r="D580" s="251" t="s">
        <v>166</v>
      </c>
      <c r="E580" s="252" t="s">
        <v>558</v>
      </c>
      <c r="F580" s="251" t="s">
        <v>834</v>
      </c>
      <c r="G580" s="251" t="s">
        <v>155</v>
      </c>
      <c r="H580" s="130" t="s">
        <v>606</v>
      </c>
      <c r="I580" s="253">
        <v>2</v>
      </c>
      <c r="J580" s="253">
        <v>10</v>
      </c>
      <c r="K580" s="126">
        <v>0</v>
      </c>
      <c r="L580" s="125">
        <v>40000000</v>
      </c>
      <c r="M580" s="251" t="s">
        <v>464</v>
      </c>
      <c r="N580" s="125" t="s">
        <v>113</v>
      </c>
      <c r="O580" s="252" t="s">
        <v>227</v>
      </c>
      <c r="P580" s="254" t="str">
        <f>IFERROR(VLOOKUP(C580,TD!$B$33:$F$37,2,0)," ")</f>
        <v>O230117</v>
      </c>
      <c r="Q580" s="254" t="str">
        <f>IFERROR(VLOOKUP(C580,TD!$B$33:$F$37,3,0)," ")</f>
        <v>4503</v>
      </c>
      <c r="R580" s="254">
        <f>IFERROR(VLOOKUP(C580,TD!$B$33:$F$37,4,0)," ")</f>
        <v>20240255</v>
      </c>
      <c r="S580" s="252" t="s">
        <v>185</v>
      </c>
      <c r="T580" s="254" t="str">
        <f>IFERROR(VLOOKUP(S580,TD!$J$34:$K$44,2,0)," ")</f>
        <v>Infraestructura física, mantenimiento y dotación (Sedes construidas, mantenidas reforzadas)</v>
      </c>
      <c r="U580" s="249" t="str">
        <f>CONCATENATE(S580,"-",T580)</f>
        <v>08-Infraestructura física, mantenimiento y dotación (Sedes construidas, mantenidas reforzadas)</v>
      </c>
      <c r="V580" s="252" t="s">
        <v>236</v>
      </c>
      <c r="W580" s="254" t="str">
        <f>IFERROR(VLOOKUP(V580,TD!$N$34:$O$46,2,0)," ")</f>
        <v>Estaciones de bomberos adecuadas</v>
      </c>
      <c r="X580" s="249" t="str">
        <f>CONCATENATE(V580,"_",W580)</f>
        <v>014_Estaciones de bomberos adecuadas</v>
      </c>
      <c r="Y580" s="249" t="str">
        <f>CONCATENATE(U580," ",X580)</f>
        <v>08-Infraestructura física, mantenimiento y dotación (Sedes construidas, mantenidas reforzadas) 014_Estaciones de bomberos adecuadas</v>
      </c>
      <c r="Z580" s="254" t="str">
        <f>CONCATENATE(P580,Q580,R580,S580,V580)</f>
        <v>O23011745032024025508014</v>
      </c>
      <c r="AA580" s="254" t="str">
        <f>IFERROR(VLOOKUP(Y580,TD!$K$47:$L$65,2,0)," ")</f>
        <v>PM/0131/0108/45030140255</v>
      </c>
      <c r="AB580" s="53" t="s">
        <v>662</v>
      </c>
      <c r="AC580" s="255" t="s">
        <v>204</v>
      </c>
    </row>
    <row r="581" spans="2:29" s="28" customFormat="1" ht="56" x14ac:dyDescent="0.35">
      <c r="B581" s="127">
        <v>20250642</v>
      </c>
      <c r="C581" s="129" t="s">
        <v>208</v>
      </c>
      <c r="D581" s="251" t="s">
        <v>166</v>
      </c>
      <c r="E581" s="252" t="s">
        <v>558</v>
      </c>
      <c r="F581" s="251" t="s">
        <v>835</v>
      </c>
      <c r="G581" s="251" t="s">
        <v>156</v>
      </c>
      <c r="H581" s="130" t="s">
        <v>606</v>
      </c>
      <c r="I581" s="253">
        <v>2</v>
      </c>
      <c r="J581" s="253">
        <v>9</v>
      </c>
      <c r="K581" s="126">
        <v>0</v>
      </c>
      <c r="L581" s="125">
        <v>34384905</v>
      </c>
      <c r="M581" s="251" t="s">
        <v>464</v>
      </c>
      <c r="N581" s="125" t="s">
        <v>113</v>
      </c>
      <c r="O581" s="252" t="s">
        <v>219</v>
      </c>
      <c r="P581" s="254" t="str">
        <f>IFERROR(VLOOKUP(C581,TD!$B$33:$F$37,2,0)," ")</f>
        <v>O230117</v>
      </c>
      <c r="Q581" s="254" t="str">
        <f>IFERROR(VLOOKUP(C581,TD!$B$33:$F$37,3,0)," ")</f>
        <v>4599</v>
      </c>
      <c r="R581" s="254">
        <f>IFERROR(VLOOKUP(C581,TD!$B$33:$F$37,4,0)," ")</f>
        <v>20240207</v>
      </c>
      <c r="S581" s="252" t="s">
        <v>185</v>
      </c>
      <c r="T581" s="254" t="str">
        <f>IFERROR(VLOOKUP(S581,TD!$J$34:$K$44,2,0)," ")</f>
        <v>Infraestructura física, mantenimiento y dotación (Sedes construidas, mantenidas reforzadas)</v>
      </c>
      <c r="U581" s="249" t="str">
        <f>CONCATENATE(S581,"-",T581)</f>
        <v>08-Infraestructura física, mantenimiento y dotación (Sedes construidas, mantenidas reforzadas)</v>
      </c>
      <c r="V581" s="252" t="s">
        <v>238</v>
      </c>
      <c r="W581" s="254" t="str">
        <f>IFERROR(VLOOKUP(V581,TD!$N$34:$O$46,2,0)," ")</f>
        <v>Sedes mantenidas</v>
      </c>
      <c r="X581" s="249" t="str">
        <f>CONCATENATE(V581,"_",W581)</f>
        <v>016_Sedes mantenidas</v>
      </c>
      <c r="Y581" s="249" t="str">
        <f>CONCATENATE(U581," ",X581)</f>
        <v>08-Infraestructura física, mantenimiento y dotación (Sedes construidas, mantenidas reforzadas) 016_Sedes mantenidas</v>
      </c>
      <c r="Z581" s="254" t="str">
        <f>CONCATENATE(P581,Q581,R581,S581,V581)</f>
        <v>O23011745992024020708016</v>
      </c>
      <c r="AA581" s="254" t="str">
        <f>IFERROR(VLOOKUP(Y581,TD!$K$47:$L$65,2,0)," ")</f>
        <v>PM/0131/0108/45990160207</v>
      </c>
      <c r="AB581" s="125" t="s">
        <v>138</v>
      </c>
      <c r="AC581" s="255" t="s">
        <v>204</v>
      </c>
    </row>
    <row r="582" spans="2:29" s="28" customFormat="1" ht="98" x14ac:dyDescent="0.35">
      <c r="B582" s="127">
        <v>20250643</v>
      </c>
      <c r="C582" s="129" t="s">
        <v>208</v>
      </c>
      <c r="D582" s="251" t="s">
        <v>166</v>
      </c>
      <c r="E582" s="252" t="s">
        <v>558</v>
      </c>
      <c r="F582" s="251" t="s">
        <v>836</v>
      </c>
      <c r="G582" s="251" t="s">
        <v>155</v>
      </c>
      <c r="H582" s="130" t="s">
        <v>606</v>
      </c>
      <c r="I582" s="253">
        <v>2</v>
      </c>
      <c r="J582" s="253">
        <v>9</v>
      </c>
      <c r="K582" s="126">
        <v>0</v>
      </c>
      <c r="L582" s="125">
        <v>56000000</v>
      </c>
      <c r="M582" s="251" t="s">
        <v>464</v>
      </c>
      <c r="N582" s="125" t="s">
        <v>113</v>
      </c>
      <c r="O582" s="252" t="s">
        <v>219</v>
      </c>
      <c r="P582" s="254" t="str">
        <f>IFERROR(VLOOKUP(C582,TD!$B$33:$F$37,2,0)," ")</f>
        <v>O230117</v>
      </c>
      <c r="Q582" s="254" t="str">
        <f>IFERROR(VLOOKUP(C582,TD!$B$33:$F$37,3,0)," ")</f>
        <v>4599</v>
      </c>
      <c r="R582" s="254">
        <f>IFERROR(VLOOKUP(C582,TD!$B$33:$F$37,4,0)," ")</f>
        <v>20240207</v>
      </c>
      <c r="S582" s="252" t="s">
        <v>185</v>
      </c>
      <c r="T582" s="254" t="str">
        <f>IFERROR(VLOOKUP(S582,TD!$J$34:$K$44,2,0)," ")</f>
        <v>Infraestructura física, mantenimiento y dotación (Sedes construidas, mantenidas reforzadas)</v>
      </c>
      <c r="U582" s="249" t="str">
        <f>CONCATENATE(S582,"-",T582)</f>
        <v>08-Infraestructura física, mantenimiento y dotación (Sedes construidas, mantenidas reforzadas)</v>
      </c>
      <c r="V582" s="252" t="s">
        <v>238</v>
      </c>
      <c r="W582" s="254" t="str">
        <f>IFERROR(VLOOKUP(V582,TD!$N$34:$O$46,2,0)," ")</f>
        <v>Sedes mantenidas</v>
      </c>
      <c r="X582" s="249" t="str">
        <f>CONCATENATE(V582,"_",W582)</f>
        <v>016_Sedes mantenidas</v>
      </c>
      <c r="Y582" s="249" t="str">
        <f>CONCATENATE(U582," ",X582)</f>
        <v>08-Infraestructura física, mantenimiento y dotación (Sedes construidas, mantenidas reforzadas) 016_Sedes mantenidas</v>
      </c>
      <c r="Z582" s="254" t="str">
        <f>CONCATENATE(P582,Q582,R582,S582,V582)</f>
        <v>O23011745992024020708016</v>
      </c>
      <c r="AA582" s="254" t="str">
        <f>IFERROR(VLOOKUP(Y582,TD!$K$47:$L$65,2,0)," ")</f>
        <v>PM/0131/0108/45990160207</v>
      </c>
      <c r="AB582" s="125" t="s">
        <v>138</v>
      </c>
      <c r="AC582" s="255" t="s">
        <v>204</v>
      </c>
    </row>
    <row r="583" spans="2:29" s="28" customFormat="1" ht="70" x14ac:dyDescent="0.35">
      <c r="B583" s="127">
        <v>20250644</v>
      </c>
      <c r="C583" s="129" t="s">
        <v>208</v>
      </c>
      <c r="D583" s="251" t="s">
        <v>166</v>
      </c>
      <c r="E583" s="252" t="s">
        <v>558</v>
      </c>
      <c r="F583" s="251" t="s">
        <v>658</v>
      </c>
      <c r="G583" s="251" t="s">
        <v>155</v>
      </c>
      <c r="H583" s="130" t="s">
        <v>606</v>
      </c>
      <c r="I583" s="253">
        <v>2</v>
      </c>
      <c r="J583" s="253">
        <v>9</v>
      </c>
      <c r="K583" s="126">
        <v>0</v>
      </c>
      <c r="L583" s="125">
        <v>41288696</v>
      </c>
      <c r="M583" s="251" t="s">
        <v>464</v>
      </c>
      <c r="N583" s="125" t="s">
        <v>113</v>
      </c>
      <c r="O583" s="252" t="s">
        <v>218</v>
      </c>
      <c r="P583" s="254" t="str">
        <f>IFERROR(VLOOKUP(C583,TD!$B$33:$F$37,2,0)," ")</f>
        <v>O230117</v>
      </c>
      <c r="Q583" s="254" t="str">
        <f>IFERROR(VLOOKUP(C583,TD!$B$33:$F$37,3,0)," ")</f>
        <v>4599</v>
      </c>
      <c r="R583" s="254">
        <f>IFERROR(VLOOKUP(C583,TD!$B$33:$F$37,4,0)," ")</f>
        <v>20240207</v>
      </c>
      <c r="S583" s="252" t="s">
        <v>185</v>
      </c>
      <c r="T583" s="254" t="str">
        <f>IFERROR(VLOOKUP(S583,TD!$J$34:$K$44,2,0)," ")</f>
        <v>Infraestructura física, mantenimiento y dotación (Sedes construidas, mantenidas reforzadas)</v>
      </c>
      <c r="U583" s="249" t="str">
        <f>CONCATENATE(S583,"-",T583)</f>
        <v>08-Infraestructura física, mantenimiento y dotación (Sedes construidas, mantenidas reforzadas)</v>
      </c>
      <c r="V583" s="252" t="s">
        <v>238</v>
      </c>
      <c r="W583" s="254" t="str">
        <f>IFERROR(VLOOKUP(V583,TD!$N$34:$O$46,2,0)," ")</f>
        <v>Sedes mantenidas</v>
      </c>
      <c r="X583" s="249" t="str">
        <f>CONCATENATE(V583,"_",W583)</f>
        <v>016_Sedes mantenidas</v>
      </c>
      <c r="Y583" s="249" t="str">
        <f>CONCATENATE(U583," ",X583)</f>
        <v>08-Infraestructura física, mantenimiento y dotación (Sedes construidas, mantenidas reforzadas) 016_Sedes mantenidas</v>
      </c>
      <c r="Z583" s="254" t="str">
        <f>CONCATENATE(P583,Q583,R583,S583,V583)</f>
        <v>O23011745992024020708016</v>
      </c>
      <c r="AA583" s="254" t="str">
        <f>IFERROR(VLOOKUP(Y583,TD!$K$47:$L$65,2,0)," ")</f>
        <v>PM/0131/0108/45990160207</v>
      </c>
      <c r="AB583" s="125" t="s">
        <v>138</v>
      </c>
      <c r="AC583" s="255" t="s">
        <v>204</v>
      </c>
    </row>
    <row r="584" spans="2:29" s="28" customFormat="1" ht="42" x14ac:dyDescent="0.35">
      <c r="B584" s="127">
        <v>20250646</v>
      </c>
      <c r="C584" s="129" t="s">
        <v>208</v>
      </c>
      <c r="D584" s="251" t="s">
        <v>166</v>
      </c>
      <c r="E584" s="252" t="s">
        <v>558</v>
      </c>
      <c r="F584" s="129" t="s">
        <v>1335</v>
      </c>
      <c r="G584" s="251" t="s">
        <v>96</v>
      </c>
      <c r="H584" s="130" t="s">
        <v>838</v>
      </c>
      <c r="I584" s="253">
        <v>10</v>
      </c>
      <c r="J584" s="253">
        <v>3</v>
      </c>
      <c r="K584" s="126">
        <v>0</v>
      </c>
      <c r="L584" s="125">
        <f>7000000-2129810-96989</f>
        <v>4773201</v>
      </c>
      <c r="M584" s="251" t="s">
        <v>464</v>
      </c>
      <c r="N584" s="125" t="s">
        <v>100</v>
      </c>
      <c r="O584" s="252" t="s">
        <v>218</v>
      </c>
      <c r="P584" s="254" t="str">
        <f>IFERROR(VLOOKUP(C584,TD!$B$33:$F$37,2,0)," ")</f>
        <v>O230117</v>
      </c>
      <c r="Q584" s="254" t="str">
        <f>IFERROR(VLOOKUP(C584,TD!$B$33:$F$37,3,0)," ")</f>
        <v>4599</v>
      </c>
      <c r="R584" s="254">
        <f>IFERROR(VLOOKUP(C584,TD!$B$33:$F$37,4,0)," ")</f>
        <v>20240207</v>
      </c>
      <c r="S584" s="252" t="s">
        <v>185</v>
      </c>
      <c r="T584" s="254" t="str">
        <f>IFERROR(VLOOKUP(S584,TD!$J$34:$K$44,2,0)," ")</f>
        <v>Infraestructura física, mantenimiento y dotación (Sedes construidas, mantenidas reforzadas)</v>
      </c>
      <c r="U584" s="249" t="str">
        <f>CONCATENATE(S584,"-",T584)</f>
        <v>08-Infraestructura física, mantenimiento y dotación (Sedes construidas, mantenidas reforzadas)</v>
      </c>
      <c r="V584" s="252" t="s">
        <v>238</v>
      </c>
      <c r="W584" s="254" t="str">
        <f>IFERROR(VLOOKUP(V584,TD!$N$34:$O$46,2,0)," ")</f>
        <v>Sedes mantenidas</v>
      </c>
      <c r="X584" s="249" t="str">
        <f>CONCATENATE(V584,"_",W584)</f>
        <v>016_Sedes mantenidas</v>
      </c>
      <c r="Y584" s="249" t="str">
        <f>CONCATENATE(U584," ",X584)</f>
        <v>08-Infraestructura física, mantenimiento y dotación (Sedes construidas, mantenidas reforzadas) 016_Sedes mantenidas</v>
      </c>
      <c r="Z584" s="254" t="str">
        <f>CONCATENATE(P584,Q584,R584,S584,V584)</f>
        <v>O23011745992024020708016</v>
      </c>
      <c r="AA584" s="254" t="str">
        <f>IFERROR(VLOOKUP(Y584,TD!$K$47:$L$65,2,0)," ")</f>
        <v>PM/0131/0108/45990160207</v>
      </c>
      <c r="AB584" s="125" t="s">
        <v>138</v>
      </c>
      <c r="AC584" s="255" t="s">
        <v>204</v>
      </c>
    </row>
    <row r="585" spans="2:29" s="28" customFormat="1" ht="84" x14ac:dyDescent="0.35">
      <c r="B585" s="77">
        <v>20250651</v>
      </c>
      <c r="C585" s="50" t="s">
        <v>209</v>
      </c>
      <c r="D585" s="246" t="s">
        <v>169</v>
      </c>
      <c r="E585" s="51" t="s">
        <v>465</v>
      </c>
      <c r="F585" s="246" t="s">
        <v>846</v>
      </c>
      <c r="G585" s="246" t="s">
        <v>156</v>
      </c>
      <c r="H585" s="93">
        <v>80111600</v>
      </c>
      <c r="I585" s="247">
        <v>3</v>
      </c>
      <c r="J585" s="247">
        <v>10</v>
      </c>
      <c r="K585" s="52">
        <v>0</v>
      </c>
      <c r="L585" s="53">
        <v>31198000</v>
      </c>
      <c r="M585" s="246" t="s">
        <v>464</v>
      </c>
      <c r="N585" s="53" t="s">
        <v>113</v>
      </c>
      <c r="O585" s="51" t="s">
        <v>222</v>
      </c>
      <c r="P585" s="248" t="str">
        <f>IFERROR(VLOOKUP(C585,TD!$B$33:$F$37,2,0)," ")</f>
        <v>O230117</v>
      </c>
      <c r="Q585" s="248" t="str">
        <f>IFERROR(VLOOKUP(C585,TD!$B$33:$F$37,3,0)," ")</f>
        <v>4503</v>
      </c>
      <c r="R585" s="248">
        <f>IFERROR(VLOOKUP(C585,TD!$B$33:$F$37,4,0)," ")</f>
        <v>20240255</v>
      </c>
      <c r="S585" s="51" t="s">
        <v>175</v>
      </c>
      <c r="T585" s="248" t="str">
        <f>IFERROR(VLOOKUP(S585,TD!$J$34:$K$44,2,0)," ")</f>
        <v>Servicio de atención a incidentes y emergencias.</v>
      </c>
      <c r="U585" s="249" t="str">
        <f>CONCATENATE(S585,"-",T585)</f>
        <v>04-Servicio de atención a incidentes y emergencias.</v>
      </c>
      <c r="V585" s="51" t="s">
        <v>232</v>
      </c>
      <c r="W585" s="248" t="str">
        <f>IFERROR(VLOOKUP(V585,TD!$N$34:$O$46,2,0)," ")</f>
        <v>Servicio de atención a emergencias y desastres</v>
      </c>
      <c r="X585" s="249" t="str">
        <f>CONCATENATE(V585,"_",W585)</f>
        <v>004_Servicio de atención a emergencias y desastres</v>
      </c>
      <c r="Y585" s="249" t="str">
        <f>CONCATENATE(U585," ",X585)</f>
        <v>04-Servicio de atención a incidentes y emergencias. 004_Servicio de atención a emergencias y desastres</v>
      </c>
      <c r="Z585" s="248" t="str">
        <f>CONCATENATE(P585,Q585,R585,S585,V585)</f>
        <v>O23011745032024025504004</v>
      </c>
      <c r="AA585" s="248" t="str">
        <f>IFERROR(VLOOKUP(Y585,TD!$K$47:$L$65,2,0)," ")</f>
        <v>PM/0131/0104/45030040255</v>
      </c>
      <c r="AB585" s="125" t="s">
        <v>138</v>
      </c>
      <c r="AC585" s="255" t="s">
        <v>204</v>
      </c>
    </row>
    <row r="586" spans="2:29" s="28" customFormat="1" ht="56" x14ac:dyDescent="0.35">
      <c r="B586" s="77">
        <v>20250652</v>
      </c>
      <c r="C586" s="50" t="s">
        <v>209</v>
      </c>
      <c r="D586" s="246" t="s">
        <v>169</v>
      </c>
      <c r="E586" s="51" t="s">
        <v>465</v>
      </c>
      <c r="F586" s="246" t="s">
        <v>846</v>
      </c>
      <c r="G586" s="246" t="s">
        <v>156</v>
      </c>
      <c r="H586" s="93">
        <v>80111600</v>
      </c>
      <c r="I586" s="247">
        <v>3</v>
      </c>
      <c r="J586" s="247">
        <v>10</v>
      </c>
      <c r="K586" s="52">
        <v>0</v>
      </c>
      <c r="L586" s="53">
        <v>31198000</v>
      </c>
      <c r="M586" s="246" t="s">
        <v>464</v>
      </c>
      <c r="N586" s="53" t="s">
        <v>113</v>
      </c>
      <c r="O586" s="51" t="s">
        <v>222</v>
      </c>
      <c r="P586" s="248" t="str">
        <f>IFERROR(VLOOKUP(C586,TD!$B$33:$F$37,2,0)," ")</f>
        <v>O230117</v>
      </c>
      <c r="Q586" s="248" t="str">
        <f>IFERROR(VLOOKUP(C586,TD!$B$33:$F$37,3,0)," ")</f>
        <v>4503</v>
      </c>
      <c r="R586" s="248">
        <f>IFERROR(VLOOKUP(C586,TD!$B$33:$F$37,4,0)," ")</f>
        <v>20240255</v>
      </c>
      <c r="S586" s="51" t="s">
        <v>175</v>
      </c>
      <c r="T586" s="248" t="str">
        <f>IFERROR(VLOOKUP(S586,TD!$J$34:$K$44,2,0)," ")</f>
        <v>Servicio de atención a incidentes y emergencias.</v>
      </c>
      <c r="U586" s="249" t="str">
        <f>CONCATENATE(S586,"-",T586)</f>
        <v>04-Servicio de atención a incidentes y emergencias.</v>
      </c>
      <c r="V586" s="51" t="s">
        <v>232</v>
      </c>
      <c r="W586" s="248" t="str">
        <f>IFERROR(VLOOKUP(V586,TD!$N$34:$O$46,2,0)," ")</f>
        <v>Servicio de atención a emergencias y desastres</v>
      </c>
      <c r="X586" s="249" t="str">
        <f>CONCATENATE(V586,"_",W586)</f>
        <v>004_Servicio de atención a emergencias y desastres</v>
      </c>
      <c r="Y586" s="249" t="str">
        <f>CONCATENATE(U586," ",X586)</f>
        <v>04-Servicio de atención a incidentes y emergencias. 004_Servicio de atención a emergencias y desastres</v>
      </c>
      <c r="Z586" s="248" t="str">
        <f>CONCATENATE(P586,Q586,R586,S586,V586)</f>
        <v>O23011745032024025504004</v>
      </c>
      <c r="AA586" s="248" t="str">
        <f>IFERROR(VLOOKUP(Y586,TD!$K$47:$L$65,2,0)," ")</f>
        <v>PM/0131/0104/45030040255</v>
      </c>
      <c r="AB586" s="125" t="s">
        <v>138</v>
      </c>
      <c r="AC586" s="255" t="s">
        <v>204</v>
      </c>
    </row>
    <row r="587" spans="2:29" s="28" customFormat="1" ht="70" x14ac:dyDescent="0.35">
      <c r="B587" s="77">
        <v>20250653</v>
      </c>
      <c r="C587" s="50" t="s">
        <v>208</v>
      </c>
      <c r="D587" s="246" t="s">
        <v>161</v>
      </c>
      <c r="E587" s="51" t="s">
        <v>355</v>
      </c>
      <c r="F587" s="246" t="s">
        <v>847</v>
      </c>
      <c r="G587" s="246" t="s">
        <v>155</v>
      </c>
      <c r="H587" s="93">
        <v>80111600</v>
      </c>
      <c r="I587" s="247">
        <v>3</v>
      </c>
      <c r="J587" s="247">
        <v>6</v>
      </c>
      <c r="K587" s="52">
        <v>0</v>
      </c>
      <c r="L587" s="53">
        <v>18900000</v>
      </c>
      <c r="M587" s="246" t="s">
        <v>464</v>
      </c>
      <c r="N587" s="53" t="s">
        <v>113</v>
      </c>
      <c r="O587" s="51" t="s">
        <v>220</v>
      </c>
      <c r="P587" s="248" t="str">
        <f>IFERROR(VLOOKUP(C587,TD!$B$33:$F$37,2,0)," ")</f>
        <v>O230117</v>
      </c>
      <c r="Q587" s="248" t="str">
        <f>IFERROR(VLOOKUP(C587,TD!$B$33:$F$37,3,0)," ")</f>
        <v>4599</v>
      </c>
      <c r="R587" s="248">
        <f>IFERROR(VLOOKUP(C587,TD!$B$33:$F$37,4,0)," ")</f>
        <v>20240207</v>
      </c>
      <c r="S587" s="51" t="s">
        <v>193</v>
      </c>
      <c r="T587" s="248" t="str">
        <f>IFERROR(VLOOKUP(S587,TD!$J$34:$K$44,2,0)," ")</f>
        <v>Servicios para la planeación y sistemas de gestión y comunicación estratégica</v>
      </c>
      <c r="U587" s="249" t="str">
        <f>CONCATENATE(S587,"-",T587)</f>
        <v>13-Servicios para la planeación y sistemas de gestión y comunicación estratégica</v>
      </c>
      <c r="V587" s="51" t="s">
        <v>242</v>
      </c>
      <c r="W587" s="248" t="str">
        <f>IFERROR(VLOOKUP(V587,TD!$N$34:$O$46,2,0)," ")</f>
        <v>Documentos de planeación</v>
      </c>
      <c r="X587" s="249" t="str">
        <f>CONCATENATE(V587,"_",W587)</f>
        <v>019_Documentos de planeación</v>
      </c>
      <c r="Y587" s="249" t="str">
        <f>CONCATENATE(U587," ",X587)</f>
        <v>13-Servicios para la planeación y sistemas de gestión y comunicación estratégica 019_Documentos de planeación</v>
      </c>
      <c r="Z587" s="248" t="str">
        <f>CONCATENATE(P587,Q587,R587,S587,V587)</f>
        <v>O23011745992024020713019</v>
      </c>
      <c r="AA587" s="248" t="str">
        <f>IFERROR(VLOOKUP(Y587,TD!$K$47:$L$65,2,0)," ")</f>
        <v>PM/0131/0113/45990190207</v>
      </c>
      <c r="AB587" s="53" t="s">
        <v>138</v>
      </c>
      <c r="AC587" s="250" t="s">
        <v>204</v>
      </c>
    </row>
    <row r="588" spans="2:29" s="28" customFormat="1" ht="56" x14ac:dyDescent="0.35">
      <c r="B588" s="77">
        <v>20250654</v>
      </c>
      <c r="C588" s="50" t="s">
        <v>209</v>
      </c>
      <c r="D588" s="246" t="s">
        <v>165</v>
      </c>
      <c r="E588" s="51" t="s">
        <v>484</v>
      </c>
      <c r="F588" s="246" t="s">
        <v>849</v>
      </c>
      <c r="G588" s="246" t="s">
        <v>155</v>
      </c>
      <c r="H588" s="93">
        <v>80111600</v>
      </c>
      <c r="I588" s="247">
        <v>3</v>
      </c>
      <c r="J588" s="247">
        <v>8</v>
      </c>
      <c r="K588" s="52">
        <v>0</v>
      </c>
      <c r="L588" s="53">
        <f>65000000-6500000</f>
        <v>58500000</v>
      </c>
      <c r="M588" s="246" t="s">
        <v>464</v>
      </c>
      <c r="N588" s="53" t="s">
        <v>113</v>
      </c>
      <c r="O588" s="51" t="s">
        <v>229</v>
      </c>
      <c r="P588" s="248" t="str">
        <f>IFERROR(VLOOKUP(C588,TD!$B$33:$F$37,2,0)," ")</f>
        <v>O230117</v>
      </c>
      <c r="Q588" s="248" t="str">
        <f>IFERROR(VLOOKUP(C588,TD!$B$33:$F$37,3,0)," ")</f>
        <v>4503</v>
      </c>
      <c r="R588" s="248">
        <f>IFERROR(VLOOKUP(C588,TD!$B$33:$F$37,4,0)," ")</f>
        <v>20240255</v>
      </c>
      <c r="S588" s="51" t="s">
        <v>183</v>
      </c>
      <c r="T588" s="248" t="str">
        <f>IFERROR(VLOOKUP(S588,TD!$J$34:$K$44,2,0)," ")</f>
        <v>Servicio de formación en gestión del riesgo de incendios para el personal UAECOB</v>
      </c>
      <c r="U588" s="249" t="str">
        <f>CONCATENATE(S588,"-",T588)</f>
        <v>07-Servicio de formación en gestión del riesgo de incendios para el personal UAECOB</v>
      </c>
      <c r="V588" s="51" t="s">
        <v>233</v>
      </c>
      <c r="W588" s="248" t="str">
        <f>IFERROR(VLOOKUP(V588,TD!$N$34:$O$46,2,0)," ")</f>
        <v>Servicio de educación informal</v>
      </c>
      <c r="X588" s="249" t="str">
        <f>CONCATENATE(V588,"_",W588)</f>
        <v>002_Servicio de educación informal</v>
      </c>
      <c r="Y588" s="249" t="str">
        <f>CONCATENATE(U588," ",X588)</f>
        <v>07-Servicio de formación en gestión del riesgo de incendios para el personal UAECOB 002_Servicio de educación informal</v>
      </c>
      <c r="Z588" s="248" t="str">
        <f>CONCATENATE(P588,Q588,R588,S588,V588)</f>
        <v>O23011745032024025507002</v>
      </c>
      <c r="AA588" s="248" t="str">
        <f>IFERROR(VLOOKUP(Y588,TD!$K$47:$L$65,2,0)," ")</f>
        <v>PM/0131/0107/45030020255</v>
      </c>
      <c r="AB588" s="53" t="s">
        <v>138</v>
      </c>
      <c r="AC588" s="250" t="s">
        <v>204</v>
      </c>
    </row>
    <row r="589" spans="2:29" s="28" customFormat="1" ht="56" x14ac:dyDescent="0.35">
      <c r="B589" s="77">
        <v>20250656</v>
      </c>
      <c r="C589" s="50" t="s">
        <v>208</v>
      </c>
      <c r="D589" s="246" t="s">
        <v>36</v>
      </c>
      <c r="E589" s="51" t="s">
        <v>378</v>
      </c>
      <c r="F589" s="246" t="s">
        <v>857</v>
      </c>
      <c r="G589" s="246" t="s">
        <v>156</v>
      </c>
      <c r="H589" s="93">
        <v>80111601</v>
      </c>
      <c r="I589" s="247">
        <v>3</v>
      </c>
      <c r="J589" s="247">
        <v>8</v>
      </c>
      <c r="K589" s="52">
        <v>0</v>
      </c>
      <c r="L589" s="53">
        <v>45000000</v>
      </c>
      <c r="M589" s="246" t="s">
        <v>464</v>
      </c>
      <c r="N589" s="53" t="s">
        <v>113</v>
      </c>
      <c r="O589" s="51" t="s">
        <v>211</v>
      </c>
      <c r="P589" s="248" t="str">
        <f>IFERROR(VLOOKUP(C589,TD!$B$33:$F$37,2,0)," ")</f>
        <v>O230117</v>
      </c>
      <c r="Q589" s="248" t="str">
        <f>IFERROR(VLOOKUP(C589,TD!$B$33:$F$37,3,0)," ")</f>
        <v>4599</v>
      </c>
      <c r="R589" s="248">
        <f>IFERROR(VLOOKUP(C589,TD!$B$33:$F$37,4,0)," ")</f>
        <v>20240207</v>
      </c>
      <c r="S589" s="51" t="s">
        <v>193</v>
      </c>
      <c r="T589" s="248" t="str">
        <f>IFERROR(VLOOKUP(S589,TD!$J$34:$K$44,2,0)," ")</f>
        <v>Servicios para la planeación y sistemas de gestión y comunicación estratégica</v>
      </c>
      <c r="U589" s="249" t="str">
        <f>CONCATENATE(S589,"-",T589)</f>
        <v>13-Servicios para la planeación y sistemas de gestión y comunicación estratégica</v>
      </c>
      <c r="V589" s="51" t="s">
        <v>241</v>
      </c>
      <c r="W589" s="248" t="str">
        <f>IFERROR(VLOOKUP(V589,TD!$N$34:$O$46,2,0)," ")</f>
        <v>Servicio de Implementación Sistemas de Gestión</v>
      </c>
      <c r="X589" s="249" t="str">
        <f>CONCATENATE(V589,"_",W589)</f>
        <v>023_Servicio de Implementación Sistemas de Gestión</v>
      </c>
      <c r="Y589" s="249" t="str">
        <f>CONCATENATE(U589," ",X589)</f>
        <v>13-Servicios para la planeación y sistemas de gestión y comunicación estratégica 023_Servicio de Implementación Sistemas de Gestión</v>
      </c>
      <c r="Z589" s="248" t="str">
        <f>CONCATENATE(P589,Q589,R589,S589,V589)</f>
        <v>O23011745992024020713023</v>
      </c>
      <c r="AA589" s="248" t="str">
        <f>IFERROR(VLOOKUP(Y589,TD!$K$47:$L$65,2,0)," ")</f>
        <v>PM/0131/0113/45990230207</v>
      </c>
      <c r="AB589" s="53" t="s">
        <v>138</v>
      </c>
      <c r="AC589" s="250" t="s">
        <v>204</v>
      </c>
    </row>
    <row r="590" spans="2:29" s="28" customFormat="1" ht="70" x14ac:dyDescent="0.35">
      <c r="B590" s="127">
        <v>20250657</v>
      </c>
      <c r="C590" s="129" t="s">
        <v>209</v>
      </c>
      <c r="D590" s="251" t="s">
        <v>168</v>
      </c>
      <c r="E590" s="252" t="s">
        <v>600</v>
      </c>
      <c r="F590" s="251" t="s">
        <v>1364</v>
      </c>
      <c r="G590" s="251" t="s">
        <v>155</v>
      </c>
      <c r="H590" s="130">
        <v>80111600</v>
      </c>
      <c r="I590" s="253">
        <v>11</v>
      </c>
      <c r="J590" s="253">
        <v>1</v>
      </c>
      <c r="K590" s="126">
        <v>15</v>
      </c>
      <c r="L590" s="125">
        <v>9000000</v>
      </c>
      <c r="M590" s="251" t="s">
        <v>464</v>
      </c>
      <c r="N590" s="125" t="s">
        <v>113</v>
      </c>
      <c r="O590" s="252" t="s">
        <v>224</v>
      </c>
      <c r="P590" s="254" t="str">
        <f>IFERROR(VLOOKUP(C590,TD!$B$33:$F$37,2,0)," ")</f>
        <v>O230117</v>
      </c>
      <c r="Q590" s="254" t="str">
        <f>IFERROR(VLOOKUP(C590,TD!$B$33:$F$37,3,0)," ")</f>
        <v>4503</v>
      </c>
      <c r="R590" s="254">
        <f>IFERROR(VLOOKUP(C590,TD!$B$33:$F$37,4,0)," ")</f>
        <v>20240255</v>
      </c>
      <c r="S590" s="252" t="s">
        <v>191</v>
      </c>
      <c r="T590" s="254" t="str">
        <f>IFERROR(VLOOKUP(S590,TD!$J$34:$K$44,2,0)," ")</f>
        <v>Servicio de apoyo   logístico  en eventos operativos y/o emergencias.</v>
      </c>
      <c r="U590" s="249" t="str">
        <f>CONCATENATE(S590,"-",T590)</f>
        <v>12-Servicio de apoyo   logístico  en eventos operativos y/o emergencias.</v>
      </c>
      <c r="V590" s="252" t="s">
        <v>232</v>
      </c>
      <c r="W590" s="254" t="str">
        <f>IFERROR(VLOOKUP(V590,TD!$N$34:$O$46,2,0)," ")</f>
        <v>Servicio de atención a emergencias y desastres</v>
      </c>
      <c r="X590" s="249" t="str">
        <f>CONCATENATE(V590,"_",W590)</f>
        <v>004_Servicio de atención a emergencias y desastres</v>
      </c>
      <c r="Y590" s="249" t="str">
        <f>CONCATENATE(U590," ",X590)</f>
        <v>12-Servicio de apoyo   logístico  en eventos operativos y/o emergencias. 004_Servicio de atención a emergencias y desastres</v>
      </c>
      <c r="Z590" s="254" t="str">
        <f>CONCATENATE(P590,Q590,R590,S590,V590)</f>
        <v>O23011745032024025512004</v>
      </c>
      <c r="AA590" s="254" t="str">
        <f>IFERROR(VLOOKUP(Y590,TD!$K$47:$L$65,2,0)," ")</f>
        <v>PM/0131/0112/45030040255</v>
      </c>
      <c r="AB590" s="125" t="s">
        <v>138</v>
      </c>
      <c r="AC590" s="255" t="s">
        <v>204</v>
      </c>
    </row>
    <row r="591" spans="2:29" s="28" customFormat="1" ht="42" x14ac:dyDescent="0.35">
      <c r="B591" s="77">
        <v>20250658</v>
      </c>
      <c r="C591" s="50" t="s">
        <v>209</v>
      </c>
      <c r="D591" s="246" t="s">
        <v>168</v>
      </c>
      <c r="E591" s="51" t="s">
        <v>600</v>
      </c>
      <c r="F591" s="246" t="s">
        <v>863</v>
      </c>
      <c r="G591" s="246" t="s">
        <v>146</v>
      </c>
      <c r="H591" s="93">
        <v>78181500</v>
      </c>
      <c r="I591" s="247">
        <v>3</v>
      </c>
      <c r="J591" s="247">
        <v>3</v>
      </c>
      <c r="K591" s="52">
        <v>0</v>
      </c>
      <c r="L591" s="53">
        <f>1600000000</f>
        <v>1600000000</v>
      </c>
      <c r="M591" s="246" t="s">
        <v>464</v>
      </c>
      <c r="N591" s="53" t="s">
        <v>85</v>
      </c>
      <c r="O591" s="51" t="s">
        <v>224</v>
      </c>
      <c r="P591" s="248" t="str">
        <f>IFERROR(VLOOKUP(C591,TD!$B$33:$F$37,2,0)," ")</f>
        <v>O230117</v>
      </c>
      <c r="Q591" s="248" t="str">
        <f>IFERROR(VLOOKUP(C591,TD!$B$33:$F$37,3,0)," ")</f>
        <v>4503</v>
      </c>
      <c r="R591" s="248">
        <f>IFERROR(VLOOKUP(C591,TD!$B$33:$F$37,4,0)," ")</f>
        <v>20240255</v>
      </c>
      <c r="S591" s="51" t="s">
        <v>187</v>
      </c>
      <c r="T591" s="248" t="str">
        <f>IFERROR(VLOOKUP(S591,TD!$J$34:$K$44,2,0)," ")</f>
        <v>Servicio de mantenimiento, dotación (HEA´s y equipo menor) y adquisición de vehiculos   especializados para la atención de emergencias.</v>
      </c>
      <c r="U591" s="249" t="str">
        <f>CONCATENATE(S591,"-",T591)</f>
        <v>09-Servicio de mantenimiento, dotación (HEA´s y equipo menor) y adquisición de vehiculos   especializados para la atención de emergencias.</v>
      </c>
      <c r="V591" s="51" t="s">
        <v>232</v>
      </c>
      <c r="W591" s="248" t="str">
        <f>IFERROR(VLOOKUP(V591,TD!$N$34:$O$46,2,0)," ")</f>
        <v>Servicio de atención a emergencias y desastres</v>
      </c>
      <c r="X591" s="249" t="str">
        <f>CONCATENATE(V591,"_",W591)</f>
        <v>004_Servicio de atención a emergencias y desastres</v>
      </c>
      <c r="Y591" s="249" t="str">
        <f>CONCATENATE(U591," ",X591)</f>
        <v>09-Servicio de mantenimiento, dotación (HEA´s y equipo menor) y adquisición de vehiculos   especializados para la atención de emergencias. 004_Servicio de atención a emergencias y desastres</v>
      </c>
      <c r="Z591" s="248" t="str">
        <f>CONCATENATE(P591,Q591,R591,S591,V591)</f>
        <v>O23011745032024025509004</v>
      </c>
      <c r="AA591" s="248" t="str">
        <f>IFERROR(VLOOKUP(Y591,TD!$K$47:$L$65,2,0)," ")</f>
        <v>PM/0131/0109/45030040255</v>
      </c>
      <c r="AB591" s="53" t="s">
        <v>145</v>
      </c>
      <c r="AC591" s="250" t="s">
        <v>205</v>
      </c>
    </row>
    <row r="592" spans="2:29" s="28" customFormat="1" ht="56" x14ac:dyDescent="0.35">
      <c r="B592" s="127">
        <v>20250659</v>
      </c>
      <c r="C592" s="129" t="s">
        <v>209</v>
      </c>
      <c r="D592" s="251" t="s">
        <v>168</v>
      </c>
      <c r="E592" s="252" t="s">
        <v>600</v>
      </c>
      <c r="F592" s="251" t="s">
        <v>858</v>
      </c>
      <c r="G592" s="251" t="s">
        <v>137</v>
      </c>
      <c r="H592" s="130" t="s">
        <v>406</v>
      </c>
      <c r="I592" s="253">
        <v>0</v>
      </c>
      <c r="J592" s="253">
        <v>0</v>
      </c>
      <c r="K592" s="126">
        <v>0</v>
      </c>
      <c r="L592" s="125">
        <v>2445667</v>
      </c>
      <c r="M592" s="251" t="s">
        <v>173</v>
      </c>
      <c r="N592" s="125" t="s">
        <v>128</v>
      </c>
      <c r="O592" s="252" t="s">
        <v>224</v>
      </c>
      <c r="P592" s="254" t="str">
        <f>IFERROR(VLOOKUP(C592,TD!$B$33:$F$37,2,0)," ")</f>
        <v>O230117</v>
      </c>
      <c r="Q592" s="254" t="str">
        <f>IFERROR(VLOOKUP(C592,TD!$B$33:$F$37,3,0)," ")</f>
        <v>4503</v>
      </c>
      <c r="R592" s="254">
        <f>IFERROR(VLOOKUP(C592,TD!$B$33:$F$37,4,0)," ")</f>
        <v>20240255</v>
      </c>
      <c r="S592" s="252" t="s">
        <v>191</v>
      </c>
      <c r="T592" s="254" t="str">
        <f>IFERROR(VLOOKUP(S592,TD!$J$34:$K$44,2,0)," ")</f>
        <v>Servicio de apoyo   logístico  en eventos operativos y/o emergencias.</v>
      </c>
      <c r="U592" s="249" t="str">
        <f>CONCATENATE(S592,"-",T592)</f>
        <v>12-Servicio de apoyo   logístico  en eventos operativos y/o emergencias.</v>
      </c>
      <c r="V592" s="252" t="s">
        <v>232</v>
      </c>
      <c r="W592" s="254" t="str">
        <f>IFERROR(VLOOKUP(V592,TD!$N$34:$O$46,2,0)," ")</f>
        <v>Servicio de atención a emergencias y desastres</v>
      </c>
      <c r="X592" s="249" t="str">
        <f>CONCATENATE(V592,"_",W592)</f>
        <v>004_Servicio de atención a emergencias y desastres</v>
      </c>
      <c r="Y592" s="249" t="str">
        <f>CONCATENATE(U592," ",X592)</f>
        <v>12-Servicio de apoyo   logístico  en eventos operativos y/o emergencias. 004_Servicio de atención a emergencias y desastres</v>
      </c>
      <c r="Z592" s="254" t="str">
        <f>CONCATENATE(P592,Q592,R592,S592,V592)</f>
        <v>O23011745032024025512004</v>
      </c>
      <c r="AA592" s="254" t="str">
        <f>IFERROR(VLOOKUP(Y592,TD!$K$47:$L$65,2,0)," ")</f>
        <v>PM/0131/0112/45030040255</v>
      </c>
      <c r="AB592" s="125" t="s">
        <v>138</v>
      </c>
      <c r="AC592" s="255" t="s">
        <v>205</v>
      </c>
    </row>
    <row r="593" spans="2:29" s="28" customFormat="1" ht="112" x14ac:dyDescent="0.35">
      <c r="B593" s="77">
        <v>20250660</v>
      </c>
      <c r="C593" s="50" t="s">
        <v>208</v>
      </c>
      <c r="D593" s="246" t="s">
        <v>162</v>
      </c>
      <c r="E593" s="51" t="s">
        <v>355</v>
      </c>
      <c r="F593" s="246" t="s">
        <v>781</v>
      </c>
      <c r="G593" s="246" t="s">
        <v>155</v>
      </c>
      <c r="H593" s="93">
        <v>80111600</v>
      </c>
      <c r="I593" s="247">
        <v>3</v>
      </c>
      <c r="J593" s="247">
        <v>10</v>
      </c>
      <c r="K593" s="52">
        <v>0</v>
      </c>
      <c r="L593" s="53">
        <v>35000000</v>
      </c>
      <c r="M593" s="246" t="s">
        <v>464</v>
      </c>
      <c r="N593" s="53" t="s">
        <v>113</v>
      </c>
      <c r="O593" s="51" t="s">
        <v>214</v>
      </c>
      <c r="P593" s="248" t="str">
        <f>IFERROR(VLOOKUP(C593,TD!$B$33:$F$37,2,0)," ")</f>
        <v>O230117</v>
      </c>
      <c r="Q593" s="248" t="str">
        <f>IFERROR(VLOOKUP(C593,TD!$B$33:$F$37,3,0)," ")</f>
        <v>4599</v>
      </c>
      <c r="R593" s="248">
        <f>IFERROR(VLOOKUP(C593,TD!$B$33:$F$37,4,0)," ")</f>
        <v>20240207</v>
      </c>
      <c r="S593" s="51" t="s">
        <v>179</v>
      </c>
      <c r="T593" s="248" t="str">
        <f>IFERROR(VLOOKUP(S593,TD!$J$34:$K$44,2,0)," ")</f>
        <v>Infraestructura Tecnológica   (Sistemas de Información y Tecnologia)</v>
      </c>
      <c r="U593" s="249" t="str">
        <f>CONCATENATE(S593,"-",T593)</f>
        <v>11-Infraestructura Tecnológica   (Sistemas de Información y Tecnologia)</v>
      </c>
      <c r="V593" s="51" t="s">
        <v>239</v>
      </c>
      <c r="W593" s="248" t="str">
        <f>IFERROR(VLOOKUP(V593,TD!$N$34:$O$46,2,0)," ")</f>
        <v>Servicios tecnológicos</v>
      </c>
      <c r="X593" s="249" t="str">
        <f>CONCATENATE(V593,"_",W593)</f>
        <v>007_Servicios tecnológicos</v>
      </c>
      <c r="Y593" s="249" t="str">
        <f>CONCATENATE(U593," ",X593)</f>
        <v>11-Infraestructura Tecnológica   (Sistemas de Información y Tecnologia) 007_Servicios tecnológicos</v>
      </c>
      <c r="Z593" s="248" t="str">
        <f>CONCATENATE(P593,Q593,R593,S593,V593)</f>
        <v>O23011745992024020711007</v>
      </c>
      <c r="AA593" s="248" t="str">
        <f>IFERROR(VLOOKUP(Y593,TD!$K$47:$L$65,2,0)," ")</f>
        <v>PM/0131/0111/45990070207</v>
      </c>
      <c r="AB593" s="53" t="s">
        <v>138</v>
      </c>
      <c r="AC593" s="250" t="s">
        <v>204</v>
      </c>
    </row>
    <row r="594" spans="2:29" s="28" customFormat="1" ht="70" x14ac:dyDescent="0.35">
      <c r="B594" s="127">
        <v>20250661</v>
      </c>
      <c r="C594" s="129" t="s">
        <v>209</v>
      </c>
      <c r="D594" s="251" t="s">
        <v>167</v>
      </c>
      <c r="E594" s="252" t="s">
        <v>505</v>
      </c>
      <c r="F594" s="251" t="s">
        <v>1098</v>
      </c>
      <c r="G594" s="251" t="s">
        <v>155</v>
      </c>
      <c r="H594" s="130">
        <v>80111600</v>
      </c>
      <c r="I594" s="253">
        <v>9</v>
      </c>
      <c r="J594" s="253">
        <v>4</v>
      </c>
      <c r="K594" s="126">
        <v>0</v>
      </c>
      <c r="L594" s="125">
        <v>21000000</v>
      </c>
      <c r="M594" s="251" t="s">
        <v>464</v>
      </c>
      <c r="N594" s="125" t="s">
        <v>113</v>
      </c>
      <c r="O594" s="252" t="s">
        <v>221</v>
      </c>
      <c r="P594" s="254" t="str">
        <f>IFERROR(VLOOKUP(C594,TD!$B$33:$F$37,2,0)," ")</f>
        <v>O230117</v>
      </c>
      <c r="Q594" s="254" t="str">
        <f>IFERROR(VLOOKUP(C594,TD!$B$33:$F$37,3,0)," ")</f>
        <v>4503</v>
      </c>
      <c r="R594" s="254">
        <f>IFERROR(VLOOKUP(C594,TD!$B$33:$F$37,4,0)," ")</f>
        <v>20240255</v>
      </c>
      <c r="S594" s="252" t="s">
        <v>177</v>
      </c>
      <c r="T594" s="254" t="str">
        <f>IFERROR(VLOOKUP(S594,TD!$J$34:$K$44,2,0)," ")</f>
        <v>Servicio de capacitaciones en gestión del riesgo de incendios  a la ciudadania.</v>
      </c>
      <c r="U594" s="249" t="str">
        <f>CONCATENATE(S594,"-",T594)</f>
        <v>05-Servicio de capacitaciones en gestión del riesgo de incendios  a la ciudadania.</v>
      </c>
      <c r="V594" s="252" t="s">
        <v>234</v>
      </c>
      <c r="W594" s="254" t="str">
        <f>IFERROR(VLOOKUP(V594,TD!$N$34:$O$46,2,0)," ")</f>
        <v>Servicio prevención y control de incendios</v>
      </c>
      <c r="X594" s="249" t="str">
        <f>CONCATENATE(V594,"_",W594)</f>
        <v>035_Servicio prevención y control de incendios</v>
      </c>
      <c r="Y594" s="249" t="str">
        <f>CONCATENATE(U594," ",X594)</f>
        <v>05-Servicio de capacitaciones en gestión del riesgo de incendios  a la ciudadania. 035_Servicio prevención y control de incendios</v>
      </c>
      <c r="Z594" s="254" t="str">
        <f>CONCATENATE(P594,Q594,R594,S594,V594)</f>
        <v>O23011745032024025505035</v>
      </c>
      <c r="AA594" s="254" t="str">
        <f>IFERROR(VLOOKUP(Y594,TD!$K$47:$L$65,2,0)," ")</f>
        <v>PM/0131/0105/45030350255</v>
      </c>
      <c r="AB594" s="125" t="s">
        <v>138</v>
      </c>
      <c r="AC594" s="255" t="s">
        <v>204</v>
      </c>
    </row>
    <row r="595" spans="2:29" s="28" customFormat="1" ht="56" x14ac:dyDescent="0.35">
      <c r="B595" s="77">
        <v>20250662</v>
      </c>
      <c r="C595" s="50" t="s">
        <v>209</v>
      </c>
      <c r="D595" s="246" t="s">
        <v>167</v>
      </c>
      <c r="E595" s="51" t="s">
        <v>505</v>
      </c>
      <c r="F595" s="246" t="s">
        <v>860</v>
      </c>
      <c r="G595" s="246" t="s">
        <v>155</v>
      </c>
      <c r="H595" s="93">
        <v>80111600</v>
      </c>
      <c r="I595" s="247">
        <v>0</v>
      </c>
      <c r="J595" s="247">
        <v>0</v>
      </c>
      <c r="K595" s="52">
        <v>0</v>
      </c>
      <c r="L595" s="53">
        <v>1410000</v>
      </c>
      <c r="M595" s="246" t="s">
        <v>173</v>
      </c>
      <c r="N595" s="53" t="s">
        <v>128</v>
      </c>
      <c r="O595" s="51" t="s">
        <v>225</v>
      </c>
      <c r="P595" s="248" t="str">
        <f>IFERROR(VLOOKUP(C595,TD!$B$33:$F$37,2,0)," ")</f>
        <v>O230117</v>
      </c>
      <c r="Q595" s="248" t="str">
        <f>IFERROR(VLOOKUP(C595,TD!$B$33:$F$37,3,0)," ")</f>
        <v>4503</v>
      </c>
      <c r="R595" s="248">
        <f>IFERROR(VLOOKUP(C595,TD!$B$33:$F$37,4,0)," ")</f>
        <v>20240255</v>
      </c>
      <c r="S595" s="51" t="s">
        <v>179</v>
      </c>
      <c r="T595" s="248" t="str">
        <f>IFERROR(VLOOKUP(S595,TD!$J$34:$K$44,2,0)," ")</f>
        <v>Infraestructura Tecnológica   (Sistemas de Información y Tecnologia)</v>
      </c>
      <c r="U595" s="249" t="str">
        <f>CONCATENATE(S595,"-",T595)</f>
        <v>11-Infraestructura Tecnológica   (Sistemas de Información y Tecnologia)</v>
      </c>
      <c r="V595" s="51" t="s">
        <v>235</v>
      </c>
      <c r="W595" s="248" t="str">
        <f>IFERROR(VLOOKUP(V595,TD!$N$34:$O$46,2,0)," ")</f>
        <v>"Servicio de monitoreo y seguimiento para la gestión del riesgo"</v>
      </c>
      <c r="X595" s="249" t="str">
        <f>CONCATENATE(V595,"_",W595)</f>
        <v>018_"Servicio de monitoreo y seguimiento para la gestión del riesgo"</v>
      </c>
      <c r="Y595" s="249" t="str">
        <f>CONCATENATE(U595," ",X595)</f>
        <v>11-Infraestructura Tecnológica   (Sistemas de Información y Tecnologia) 018_"Servicio de monitoreo y seguimiento para la gestión del riesgo"</v>
      </c>
      <c r="Z595" s="248" t="str">
        <f>CONCATENATE(P595,Q595,R595,S595,V595)</f>
        <v>O23011745032024025511018</v>
      </c>
      <c r="AA595" s="248" t="str">
        <f>IFERROR(VLOOKUP(Y595,TD!$K$47:$L$65,2,0)," ")</f>
        <v>PM/0131/0111/45030180255</v>
      </c>
      <c r="AB595" s="53" t="s">
        <v>138</v>
      </c>
      <c r="AC595" s="250" t="s">
        <v>205</v>
      </c>
    </row>
    <row r="596" spans="2:29" s="28" customFormat="1" ht="70" x14ac:dyDescent="0.35">
      <c r="B596" s="77">
        <v>20250663</v>
      </c>
      <c r="C596" s="50" t="s">
        <v>346</v>
      </c>
      <c r="D596" s="246" t="s">
        <v>168</v>
      </c>
      <c r="E596" s="51" t="s">
        <v>600</v>
      </c>
      <c r="F596" s="246" t="s">
        <v>861</v>
      </c>
      <c r="G596" s="246" t="s">
        <v>96</v>
      </c>
      <c r="H596" s="93">
        <v>78181505</v>
      </c>
      <c r="I596" s="247">
        <v>3</v>
      </c>
      <c r="J596" s="247">
        <v>2</v>
      </c>
      <c r="K596" s="52">
        <v>0</v>
      </c>
      <c r="L596" s="53">
        <v>2000000</v>
      </c>
      <c r="M596" s="246" t="s">
        <v>172</v>
      </c>
      <c r="N596" s="53" t="s">
        <v>100</v>
      </c>
      <c r="O596" s="51" t="s">
        <v>347</v>
      </c>
      <c r="P596" s="248" t="str">
        <f>IFERROR(VLOOKUP(C596,TD!$B$33:$F$37,2,0)," ")</f>
        <v>NA</v>
      </c>
      <c r="Q596" s="248" t="str">
        <f>IFERROR(VLOOKUP(C596,TD!$B$33:$F$37,3,0)," ")</f>
        <v>NA</v>
      </c>
      <c r="R596" s="248" t="str">
        <f>IFERROR(VLOOKUP(C596,TD!$B$33:$F$37,4,0)," ")</f>
        <v>NA</v>
      </c>
      <c r="S596" s="51" t="s">
        <v>406</v>
      </c>
      <c r="T596" s="248" t="str">
        <f>IFERROR(VLOOKUP(S596,TD!$J$34:$K$44,2,0)," ")</f>
        <v>N/A</v>
      </c>
      <c r="U596" s="249" t="str">
        <f>CONCATENATE(S596,"-",T596)</f>
        <v>N/A-N/A</v>
      </c>
      <c r="V596" s="51" t="s">
        <v>406</v>
      </c>
      <c r="W596" s="248" t="str">
        <f>IFERROR(VLOOKUP(V596,TD!$N$34:$O$46,2,0)," ")</f>
        <v>N/A</v>
      </c>
      <c r="X596" s="249" t="str">
        <f>CONCATENATE(V596,"_",W596)</f>
        <v>N/A_N/A</v>
      </c>
      <c r="Y596" s="249" t="str">
        <f>CONCATENATE(U596," ",X596)</f>
        <v>N/A-N/A N/A_N/A</v>
      </c>
      <c r="Z596" s="248" t="str">
        <f>CONCATENATE(P596,Q596,R596,S596,V596)</f>
        <v>NANANAN/AN/A</v>
      </c>
      <c r="AA596" s="248" t="str">
        <f>IFERROR(VLOOKUP(Y596,TD!$K$47:$L$65,2,0)," ")</f>
        <v>N/A</v>
      </c>
      <c r="AB596" s="53" t="s">
        <v>452</v>
      </c>
      <c r="AC596" s="250" t="s">
        <v>205</v>
      </c>
    </row>
    <row r="597" spans="2:29" s="28" customFormat="1" ht="84" x14ac:dyDescent="0.35">
      <c r="B597" s="77">
        <v>20250664</v>
      </c>
      <c r="C597" s="50" t="s">
        <v>209</v>
      </c>
      <c r="D597" s="246" t="s">
        <v>168</v>
      </c>
      <c r="E597" s="51" t="s">
        <v>600</v>
      </c>
      <c r="F597" s="246" t="s">
        <v>862</v>
      </c>
      <c r="G597" s="246" t="s">
        <v>156</v>
      </c>
      <c r="H597" s="93">
        <v>80111600</v>
      </c>
      <c r="I597" s="247">
        <v>3</v>
      </c>
      <c r="J597" s="247">
        <v>6</v>
      </c>
      <c r="K597" s="52">
        <v>0</v>
      </c>
      <c r="L597" s="53">
        <v>19680000</v>
      </c>
      <c r="M597" s="246" t="s">
        <v>464</v>
      </c>
      <c r="N597" s="53" t="s">
        <v>113</v>
      </c>
      <c r="O597" s="51" t="s">
        <v>224</v>
      </c>
      <c r="P597" s="248" t="str">
        <f>IFERROR(VLOOKUP(C597,TD!$B$33:$F$37,2,0)," ")</f>
        <v>O230117</v>
      </c>
      <c r="Q597" s="248" t="str">
        <f>IFERROR(VLOOKUP(C597,TD!$B$33:$F$37,3,0)," ")</f>
        <v>4503</v>
      </c>
      <c r="R597" s="248">
        <f>IFERROR(VLOOKUP(C597,TD!$B$33:$F$37,4,0)," ")</f>
        <v>20240255</v>
      </c>
      <c r="S597" s="51" t="s">
        <v>191</v>
      </c>
      <c r="T597" s="248" t="str">
        <f>IFERROR(VLOOKUP(S597,TD!$J$34:$K$44,2,0)," ")</f>
        <v>Servicio de apoyo   logístico  en eventos operativos y/o emergencias.</v>
      </c>
      <c r="U597" s="249" t="str">
        <f>CONCATENATE(S597,"-",T597)</f>
        <v>12-Servicio de apoyo   logístico  en eventos operativos y/o emergencias.</v>
      </c>
      <c r="V597" s="51" t="s">
        <v>232</v>
      </c>
      <c r="W597" s="248" t="str">
        <f>IFERROR(VLOOKUP(V597,TD!$N$34:$O$46,2,0)," ")</f>
        <v>Servicio de atención a emergencias y desastres</v>
      </c>
      <c r="X597" s="249" t="str">
        <f>CONCATENATE(V597,"_",W597)</f>
        <v>004_Servicio de atención a emergencias y desastres</v>
      </c>
      <c r="Y597" s="249" t="str">
        <f>CONCATENATE(U597," ",X597)</f>
        <v>12-Servicio de apoyo   logístico  en eventos operativos y/o emergencias. 004_Servicio de atención a emergencias y desastres</v>
      </c>
      <c r="Z597" s="248" t="str">
        <f>CONCATENATE(P597,Q597,R597,S597,V597)</f>
        <v>O23011745032024025512004</v>
      </c>
      <c r="AA597" s="248" t="str">
        <f>IFERROR(VLOOKUP(Y597,TD!$K$47:$L$65,2,0)," ")</f>
        <v>PM/0131/0112/45030040255</v>
      </c>
      <c r="AB597" s="53" t="s">
        <v>138</v>
      </c>
      <c r="AC597" s="250" t="s">
        <v>204</v>
      </c>
    </row>
    <row r="598" spans="2:29" s="28" customFormat="1" ht="70" x14ac:dyDescent="0.35">
      <c r="B598" s="77">
        <v>20250665</v>
      </c>
      <c r="C598" s="50" t="s">
        <v>208</v>
      </c>
      <c r="D598" s="246" t="s">
        <v>166</v>
      </c>
      <c r="E598" s="51" t="s">
        <v>558</v>
      </c>
      <c r="F598" s="246" t="s">
        <v>868</v>
      </c>
      <c r="G598" s="246" t="s">
        <v>152</v>
      </c>
      <c r="H598" s="93" t="s">
        <v>870</v>
      </c>
      <c r="I598" s="247">
        <v>3</v>
      </c>
      <c r="J598" s="247">
        <v>3</v>
      </c>
      <c r="K598" s="52">
        <v>0</v>
      </c>
      <c r="L598" s="53">
        <v>50000000</v>
      </c>
      <c r="M598" s="246" t="s">
        <v>464</v>
      </c>
      <c r="N598" s="53" t="s">
        <v>95</v>
      </c>
      <c r="O598" s="51" t="s">
        <v>218</v>
      </c>
      <c r="P598" s="248" t="str">
        <f>IFERROR(VLOOKUP(C598,TD!$B$33:$F$37,2,0)," ")</f>
        <v>O230117</v>
      </c>
      <c r="Q598" s="248" t="str">
        <f>IFERROR(VLOOKUP(C598,TD!$B$33:$F$37,3,0)," ")</f>
        <v>4599</v>
      </c>
      <c r="R598" s="248">
        <f>IFERROR(VLOOKUP(C598,TD!$B$33:$F$37,4,0)," ")</f>
        <v>20240207</v>
      </c>
      <c r="S598" s="51" t="s">
        <v>185</v>
      </c>
      <c r="T598" s="248" t="str">
        <f>IFERROR(VLOOKUP(S598,TD!$J$34:$K$44,2,0)," ")</f>
        <v>Infraestructura física, mantenimiento y dotación (Sedes construidas, mantenidas reforzadas)</v>
      </c>
      <c r="U598" s="249" t="str">
        <f>CONCATENATE(S598,"-",T598)</f>
        <v>08-Infraestructura física, mantenimiento y dotación (Sedes construidas, mantenidas reforzadas)</v>
      </c>
      <c r="V598" s="51" t="s">
        <v>238</v>
      </c>
      <c r="W598" s="248" t="str">
        <f>IFERROR(VLOOKUP(V598,TD!$N$34:$O$46,2,0)," ")</f>
        <v>Sedes mantenidas</v>
      </c>
      <c r="X598" s="249" t="str">
        <f>CONCATENATE(V598,"_",W598)</f>
        <v>016_Sedes mantenidas</v>
      </c>
      <c r="Y598" s="249" t="str">
        <f>CONCATENATE(U598," ",X598)</f>
        <v>08-Infraestructura física, mantenimiento y dotación (Sedes construidas, mantenidas reforzadas) 016_Sedes mantenidas</v>
      </c>
      <c r="Z598" s="248" t="str">
        <f>CONCATENATE(P598,Q598,R598,S598,V598)</f>
        <v>O23011745992024020708016</v>
      </c>
      <c r="AA598" s="248" t="str">
        <f>IFERROR(VLOOKUP(Y598,TD!$K$47:$L$65,2,0)," ")</f>
        <v>PM/0131/0108/45990160207</v>
      </c>
      <c r="AB598" s="53" t="s">
        <v>138</v>
      </c>
      <c r="AC598" s="250" t="s">
        <v>205</v>
      </c>
    </row>
    <row r="599" spans="2:29" s="28" customFormat="1" ht="56" x14ac:dyDescent="0.35">
      <c r="B599" s="77">
        <v>20250666</v>
      </c>
      <c r="C599" s="50" t="s">
        <v>208</v>
      </c>
      <c r="D599" s="246" t="s">
        <v>166</v>
      </c>
      <c r="E599" s="51" t="s">
        <v>558</v>
      </c>
      <c r="F599" s="246" t="s">
        <v>869</v>
      </c>
      <c r="G599" s="246" t="s">
        <v>146</v>
      </c>
      <c r="H599" s="93" t="s">
        <v>871</v>
      </c>
      <c r="I599" s="247">
        <v>4</v>
      </c>
      <c r="J599" s="247">
        <v>1</v>
      </c>
      <c r="K599" s="52">
        <v>0</v>
      </c>
      <c r="L599" s="53">
        <v>10000000</v>
      </c>
      <c r="M599" s="246" t="s">
        <v>464</v>
      </c>
      <c r="N599" s="53" t="s">
        <v>90</v>
      </c>
      <c r="O599" s="51" t="s">
        <v>218</v>
      </c>
      <c r="P599" s="248" t="str">
        <f>IFERROR(VLOOKUP(C599,TD!$B$33:$F$37,2,0)," ")</f>
        <v>O230117</v>
      </c>
      <c r="Q599" s="248" t="str">
        <f>IFERROR(VLOOKUP(C599,TD!$B$33:$F$37,3,0)," ")</f>
        <v>4599</v>
      </c>
      <c r="R599" s="248">
        <f>IFERROR(VLOOKUP(C599,TD!$B$33:$F$37,4,0)," ")</f>
        <v>20240207</v>
      </c>
      <c r="S599" s="51" t="s">
        <v>185</v>
      </c>
      <c r="T599" s="248" t="str">
        <f>IFERROR(VLOOKUP(S599,TD!$J$34:$K$44,2,0)," ")</f>
        <v>Infraestructura física, mantenimiento y dotación (Sedes construidas, mantenidas reforzadas)</v>
      </c>
      <c r="U599" s="249" t="str">
        <f>CONCATENATE(S599,"-",T599)</f>
        <v>08-Infraestructura física, mantenimiento y dotación (Sedes construidas, mantenidas reforzadas)</v>
      </c>
      <c r="V599" s="51" t="s">
        <v>238</v>
      </c>
      <c r="W599" s="248" t="str">
        <f>IFERROR(VLOOKUP(V599,TD!$N$34:$O$46,2,0)," ")</f>
        <v>Sedes mantenidas</v>
      </c>
      <c r="X599" s="249" t="str">
        <f>CONCATENATE(V599,"_",W599)</f>
        <v>016_Sedes mantenidas</v>
      </c>
      <c r="Y599" s="249" t="str">
        <f>CONCATENATE(U599," ",X599)</f>
        <v>08-Infraestructura física, mantenimiento y dotación (Sedes construidas, mantenidas reforzadas) 016_Sedes mantenidas</v>
      </c>
      <c r="Z599" s="248" t="str">
        <f>CONCATENATE(P599,Q599,R599,S599,V599)</f>
        <v>O23011745992024020708016</v>
      </c>
      <c r="AA599" s="248" t="str">
        <f>IFERROR(VLOOKUP(Y599,TD!$K$47:$L$65,2,0)," ")</f>
        <v>PM/0131/0108/45990160207</v>
      </c>
      <c r="AB599" s="53" t="s">
        <v>147</v>
      </c>
      <c r="AC599" s="250" t="s">
        <v>205</v>
      </c>
    </row>
    <row r="600" spans="2:29" s="28" customFormat="1" ht="56" x14ac:dyDescent="0.35">
      <c r="B600" s="127">
        <v>20250667</v>
      </c>
      <c r="C600" s="129" t="s">
        <v>208</v>
      </c>
      <c r="D600" s="251" t="s">
        <v>162</v>
      </c>
      <c r="E600" s="252" t="s">
        <v>355</v>
      </c>
      <c r="F600" s="251" t="s">
        <v>765</v>
      </c>
      <c r="G600" s="251" t="s">
        <v>155</v>
      </c>
      <c r="H600" s="130">
        <v>80111600</v>
      </c>
      <c r="I600" s="253">
        <v>4</v>
      </c>
      <c r="J600" s="253">
        <v>8</v>
      </c>
      <c r="K600" s="126">
        <v>0</v>
      </c>
      <c r="L600" s="125">
        <v>44000000</v>
      </c>
      <c r="M600" s="251" t="s">
        <v>464</v>
      </c>
      <c r="N600" s="125" t="s">
        <v>113</v>
      </c>
      <c r="O600" s="252" t="s">
        <v>215</v>
      </c>
      <c r="P600" s="254" t="str">
        <f>IFERROR(VLOOKUP(C600,TD!$B$33:$F$37,2,0)," ")</f>
        <v>O230117</v>
      </c>
      <c r="Q600" s="254" t="str">
        <f>IFERROR(VLOOKUP(C600,TD!$B$33:$F$37,3,0)," ")</f>
        <v>4599</v>
      </c>
      <c r="R600" s="254">
        <f>IFERROR(VLOOKUP(C600,TD!$B$33:$F$37,4,0)," ")</f>
        <v>20240207</v>
      </c>
      <c r="S600" s="252" t="s">
        <v>179</v>
      </c>
      <c r="T600" s="254" t="str">
        <f>IFERROR(VLOOKUP(S600,TD!$J$34:$K$44,2,0)," ")</f>
        <v>Infraestructura Tecnológica   (Sistemas de Información y Tecnologia)</v>
      </c>
      <c r="U600" s="249" t="str">
        <f>CONCATENATE(S600,"-",T600)</f>
        <v>11-Infraestructura Tecnológica   (Sistemas de Información y Tecnologia)</v>
      </c>
      <c r="V600" s="252" t="s">
        <v>239</v>
      </c>
      <c r="W600" s="254" t="str">
        <f>IFERROR(VLOOKUP(V600,TD!$N$34:$O$46,2,0)," ")</f>
        <v>Servicios tecnológicos</v>
      </c>
      <c r="X600" s="249" t="str">
        <f>CONCATENATE(V600,"_",W600)</f>
        <v>007_Servicios tecnológicos</v>
      </c>
      <c r="Y600" s="249" t="str">
        <f>CONCATENATE(U600," ",X600)</f>
        <v>11-Infraestructura Tecnológica   (Sistemas de Información y Tecnologia) 007_Servicios tecnológicos</v>
      </c>
      <c r="Z600" s="254" t="str">
        <f>CONCATENATE(P600,Q600,R600,S600,V600)</f>
        <v>O23011745992024020711007</v>
      </c>
      <c r="AA600" s="254" t="str">
        <f>IFERROR(VLOOKUP(Y600,TD!$K$47:$L$65,2,0)," ")</f>
        <v>PM/0131/0111/45990070207</v>
      </c>
      <c r="AB600" s="125" t="s">
        <v>138</v>
      </c>
      <c r="AC600" s="255" t="s">
        <v>204</v>
      </c>
    </row>
    <row r="601" spans="2:29" s="28" customFormat="1" ht="42" x14ac:dyDescent="0.35">
      <c r="B601" s="77">
        <v>20250669</v>
      </c>
      <c r="C601" s="50" t="s">
        <v>209</v>
      </c>
      <c r="D601" s="246" t="s">
        <v>169</v>
      </c>
      <c r="E601" s="51" t="s">
        <v>465</v>
      </c>
      <c r="F601" s="246" t="s">
        <v>873</v>
      </c>
      <c r="G601" s="246" t="s">
        <v>155</v>
      </c>
      <c r="H601" s="93">
        <v>80111600</v>
      </c>
      <c r="I601" s="247">
        <v>4</v>
      </c>
      <c r="J601" s="247">
        <v>9</v>
      </c>
      <c r="K601" s="52">
        <v>0</v>
      </c>
      <c r="L601" s="53">
        <v>85500000</v>
      </c>
      <c r="M601" s="246" t="s">
        <v>464</v>
      </c>
      <c r="N601" s="53" t="s">
        <v>113</v>
      </c>
      <c r="O601" s="51" t="s">
        <v>222</v>
      </c>
      <c r="P601" s="248" t="str">
        <f>IFERROR(VLOOKUP(C601,TD!$B$33:$F$37,2,0)," ")</f>
        <v>O230117</v>
      </c>
      <c r="Q601" s="248" t="str">
        <f>IFERROR(VLOOKUP(C601,TD!$B$33:$F$37,3,0)," ")</f>
        <v>4503</v>
      </c>
      <c r="R601" s="248">
        <f>IFERROR(VLOOKUP(C601,TD!$B$33:$F$37,4,0)," ")</f>
        <v>20240255</v>
      </c>
      <c r="S601" s="51" t="s">
        <v>175</v>
      </c>
      <c r="T601" s="248" t="str">
        <f>IFERROR(VLOOKUP(S601,TD!$J$34:$K$44,2,0)," ")</f>
        <v>Servicio de atención a incidentes y emergencias.</v>
      </c>
      <c r="U601" s="249" t="str">
        <f>CONCATENATE(S601,"-",T601)</f>
        <v>04-Servicio de atención a incidentes y emergencias.</v>
      </c>
      <c r="V601" s="51" t="s">
        <v>232</v>
      </c>
      <c r="W601" s="248" t="str">
        <f>IFERROR(VLOOKUP(V601,TD!$N$34:$O$46,2,0)," ")</f>
        <v>Servicio de atención a emergencias y desastres</v>
      </c>
      <c r="X601" s="249" t="str">
        <f>CONCATENATE(V601,"_",W601)</f>
        <v>004_Servicio de atención a emergencias y desastres</v>
      </c>
      <c r="Y601" s="249" t="str">
        <f>CONCATENATE(U601," ",X601)</f>
        <v>04-Servicio de atención a incidentes y emergencias. 004_Servicio de atención a emergencias y desastres</v>
      </c>
      <c r="Z601" s="248" t="str">
        <f>CONCATENATE(P601,Q601,R601,S601,V601)</f>
        <v>O23011745032024025504004</v>
      </c>
      <c r="AA601" s="248" t="str">
        <f>IFERROR(VLOOKUP(Y601,TD!$K$47:$L$65,2,0)," ")</f>
        <v>PM/0131/0104/45030040255</v>
      </c>
      <c r="AB601" s="53" t="s">
        <v>120</v>
      </c>
      <c r="AC601" s="250" t="s">
        <v>204</v>
      </c>
    </row>
    <row r="602" spans="2:29" s="28" customFormat="1" ht="98" x14ac:dyDescent="0.35">
      <c r="B602" s="77">
        <v>20250670</v>
      </c>
      <c r="C602" s="50" t="s">
        <v>209</v>
      </c>
      <c r="D602" s="246" t="s">
        <v>169</v>
      </c>
      <c r="E602" s="51" t="s">
        <v>465</v>
      </c>
      <c r="F602" s="246" t="s">
        <v>874</v>
      </c>
      <c r="G602" s="246" t="s">
        <v>155</v>
      </c>
      <c r="H602" s="93">
        <v>80111600</v>
      </c>
      <c r="I602" s="247">
        <v>4</v>
      </c>
      <c r="J602" s="247">
        <v>9</v>
      </c>
      <c r="K602" s="52">
        <v>0</v>
      </c>
      <c r="L602" s="53">
        <v>85500000</v>
      </c>
      <c r="M602" s="246" t="s">
        <v>464</v>
      </c>
      <c r="N602" s="53" t="s">
        <v>113</v>
      </c>
      <c r="O602" s="51" t="s">
        <v>222</v>
      </c>
      <c r="P602" s="248" t="str">
        <f>IFERROR(VLOOKUP(C602,TD!$B$33:$F$37,2,0)," ")</f>
        <v>O230117</v>
      </c>
      <c r="Q602" s="248" t="str">
        <f>IFERROR(VLOOKUP(C602,TD!$B$33:$F$37,3,0)," ")</f>
        <v>4503</v>
      </c>
      <c r="R602" s="248">
        <f>IFERROR(VLOOKUP(C602,TD!$B$33:$F$37,4,0)," ")</f>
        <v>20240255</v>
      </c>
      <c r="S602" s="51" t="s">
        <v>175</v>
      </c>
      <c r="T602" s="248" t="str">
        <f>IFERROR(VLOOKUP(S602,TD!$J$34:$K$44,2,0)," ")</f>
        <v>Servicio de atención a incidentes y emergencias.</v>
      </c>
      <c r="U602" s="249" t="str">
        <f>CONCATENATE(S602,"-",T602)</f>
        <v>04-Servicio de atención a incidentes y emergencias.</v>
      </c>
      <c r="V602" s="51" t="s">
        <v>232</v>
      </c>
      <c r="W602" s="248" t="str">
        <f>IFERROR(VLOOKUP(V602,TD!$N$34:$O$46,2,0)," ")</f>
        <v>Servicio de atención a emergencias y desastres</v>
      </c>
      <c r="X602" s="249" t="str">
        <f>CONCATENATE(V602,"_",W602)</f>
        <v>004_Servicio de atención a emergencias y desastres</v>
      </c>
      <c r="Y602" s="249" t="str">
        <f>CONCATENATE(U602," ",X602)</f>
        <v>04-Servicio de atención a incidentes y emergencias. 004_Servicio de atención a emergencias y desastres</v>
      </c>
      <c r="Z602" s="248" t="str">
        <f>CONCATENATE(P602,Q602,R602,S602,V602)</f>
        <v>O23011745032024025504004</v>
      </c>
      <c r="AA602" s="248" t="str">
        <f>IFERROR(VLOOKUP(Y602,TD!$K$47:$L$65,2,0)," ")</f>
        <v>PM/0131/0104/45030040255</v>
      </c>
      <c r="AB602" s="53" t="s">
        <v>120</v>
      </c>
      <c r="AC602" s="250" t="s">
        <v>204</v>
      </c>
    </row>
    <row r="603" spans="2:29" s="28" customFormat="1" ht="56" x14ac:dyDescent="0.35">
      <c r="B603" s="77">
        <v>20250671</v>
      </c>
      <c r="C603" s="50" t="s">
        <v>209</v>
      </c>
      <c r="D603" s="246" t="s">
        <v>169</v>
      </c>
      <c r="E603" s="51" t="s">
        <v>465</v>
      </c>
      <c r="F603" s="246" t="s">
        <v>875</v>
      </c>
      <c r="G603" s="246" t="s">
        <v>155</v>
      </c>
      <c r="H603" s="93">
        <v>80111600</v>
      </c>
      <c r="I603" s="247">
        <v>4</v>
      </c>
      <c r="J603" s="247">
        <v>9</v>
      </c>
      <c r="K603" s="52">
        <v>0</v>
      </c>
      <c r="L603" s="53">
        <v>85500000</v>
      </c>
      <c r="M603" s="246" t="s">
        <v>464</v>
      </c>
      <c r="N603" s="53" t="s">
        <v>113</v>
      </c>
      <c r="O603" s="51" t="s">
        <v>222</v>
      </c>
      <c r="P603" s="248" t="str">
        <f>IFERROR(VLOOKUP(C603,TD!$B$33:$F$37,2,0)," ")</f>
        <v>O230117</v>
      </c>
      <c r="Q603" s="248" t="str">
        <f>IFERROR(VLOOKUP(C603,TD!$B$33:$F$37,3,0)," ")</f>
        <v>4503</v>
      </c>
      <c r="R603" s="248">
        <f>IFERROR(VLOOKUP(C603,TD!$B$33:$F$37,4,0)," ")</f>
        <v>20240255</v>
      </c>
      <c r="S603" s="51" t="s">
        <v>175</v>
      </c>
      <c r="T603" s="248" t="str">
        <f>IFERROR(VLOOKUP(S603,TD!$J$34:$K$44,2,0)," ")</f>
        <v>Servicio de atención a incidentes y emergencias.</v>
      </c>
      <c r="U603" s="249" t="str">
        <f>CONCATENATE(S603,"-",T603)</f>
        <v>04-Servicio de atención a incidentes y emergencias.</v>
      </c>
      <c r="V603" s="51" t="s">
        <v>232</v>
      </c>
      <c r="W603" s="248" t="str">
        <f>IFERROR(VLOOKUP(V603,TD!$N$34:$O$46,2,0)," ")</f>
        <v>Servicio de atención a emergencias y desastres</v>
      </c>
      <c r="X603" s="249" t="str">
        <f>CONCATENATE(V603,"_",W603)</f>
        <v>004_Servicio de atención a emergencias y desastres</v>
      </c>
      <c r="Y603" s="249" t="str">
        <f>CONCATENATE(U603," ",X603)</f>
        <v>04-Servicio de atención a incidentes y emergencias. 004_Servicio de atención a emergencias y desastres</v>
      </c>
      <c r="Z603" s="248" t="str">
        <f>CONCATENATE(P603,Q603,R603,S603,V603)</f>
        <v>O23011745032024025504004</v>
      </c>
      <c r="AA603" s="248" t="str">
        <f>IFERROR(VLOOKUP(Y603,TD!$K$47:$L$65,2,0)," ")</f>
        <v>PM/0131/0104/45030040255</v>
      </c>
      <c r="AB603" s="53" t="s">
        <v>120</v>
      </c>
      <c r="AC603" s="250" t="s">
        <v>204</v>
      </c>
    </row>
    <row r="604" spans="2:29" s="28" customFormat="1" ht="56" x14ac:dyDescent="0.35">
      <c r="B604" s="77">
        <v>20250672</v>
      </c>
      <c r="C604" s="50" t="s">
        <v>209</v>
      </c>
      <c r="D604" s="246" t="s">
        <v>169</v>
      </c>
      <c r="E604" s="51" t="s">
        <v>465</v>
      </c>
      <c r="F604" s="246" t="s">
        <v>929</v>
      </c>
      <c r="G604" s="246" t="s">
        <v>156</v>
      </c>
      <c r="H604" s="93">
        <v>80111600</v>
      </c>
      <c r="I604" s="247">
        <v>6</v>
      </c>
      <c r="J604" s="247">
        <v>9</v>
      </c>
      <c r="K604" s="52">
        <v>0</v>
      </c>
      <c r="L604" s="53">
        <f>54000000-14400000</f>
        <v>39600000</v>
      </c>
      <c r="M604" s="246" t="s">
        <v>464</v>
      </c>
      <c r="N604" s="53" t="s">
        <v>113</v>
      </c>
      <c r="O604" s="51" t="s">
        <v>222</v>
      </c>
      <c r="P604" s="248" t="str">
        <f>IFERROR(VLOOKUP(C604,TD!$B$33:$F$37,2,0)," ")</f>
        <v>O230117</v>
      </c>
      <c r="Q604" s="248" t="str">
        <f>IFERROR(VLOOKUP(C604,TD!$B$33:$F$37,3,0)," ")</f>
        <v>4503</v>
      </c>
      <c r="R604" s="248">
        <f>IFERROR(VLOOKUP(C604,TD!$B$33:$F$37,4,0)," ")</f>
        <v>20240255</v>
      </c>
      <c r="S604" s="51" t="s">
        <v>175</v>
      </c>
      <c r="T604" s="248" t="str">
        <f>IFERROR(VLOOKUP(S604,TD!$J$34:$K$44,2,0)," ")</f>
        <v>Servicio de atención a incidentes y emergencias.</v>
      </c>
      <c r="U604" s="249" t="str">
        <f>CONCATENATE(S604,"-",T604)</f>
        <v>04-Servicio de atención a incidentes y emergencias.</v>
      </c>
      <c r="V604" s="51" t="s">
        <v>232</v>
      </c>
      <c r="W604" s="248" t="str">
        <f>IFERROR(VLOOKUP(V604,TD!$N$34:$O$46,2,0)," ")</f>
        <v>Servicio de atención a emergencias y desastres</v>
      </c>
      <c r="X604" s="249" t="str">
        <f>CONCATENATE(V604,"_",W604)</f>
        <v>004_Servicio de atención a emergencias y desastres</v>
      </c>
      <c r="Y604" s="249" t="str">
        <f>CONCATENATE(U604," ",X604)</f>
        <v>04-Servicio de atención a incidentes y emergencias. 004_Servicio de atención a emergencias y desastres</v>
      </c>
      <c r="Z604" s="248" t="str">
        <f>CONCATENATE(P604,Q604,R604,S604,V604)</f>
        <v>O23011745032024025504004</v>
      </c>
      <c r="AA604" s="248" t="str">
        <f>IFERROR(VLOOKUP(Y604,TD!$K$47:$L$65,2,0)," ")</f>
        <v>PM/0131/0104/45030040255</v>
      </c>
      <c r="AB604" s="53" t="s">
        <v>138</v>
      </c>
      <c r="AC604" s="250" t="s">
        <v>204</v>
      </c>
    </row>
    <row r="605" spans="2:29" s="28" customFormat="1" ht="56" x14ac:dyDescent="0.35">
      <c r="B605" s="127">
        <v>20250673</v>
      </c>
      <c r="C605" s="129" t="s">
        <v>209</v>
      </c>
      <c r="D605" s="251" t="s">
        <v>169</v>
      </c>
      <c r="E605" s="252" t="s">
        <v>465</v>
      </c>
      <c r="F605" s="251" t="s">
        <v>996</v>
      </c>
      <c r="G605" s="251" t="s">
        <v>155</v>
      </c>
      <c r="H605" s="130">
        <v>80111600</v>
      </c>
      <c r="I605" s="253">
        <v>4</v>
      </c>
      <c r="J605" s="253">
        <v>9</v>
      </c>
      <c r="K605" s="126">
        <v>0</v>
      </c>
      <c r="L605" s="125">
        <v>30100000</v>
      </c>
      <c r="M605" s="251" t="s">
        <v>464</v>
      </c>
      <c r="N605" s="125" t="s">
        <v>113</v>
      </c>
      <c r="O605" s="252" t="s">
        <v>222</v>
      </c>
      <c r="P605" s="254" t="str">
        <f>IFERROR(VLOOKUP(C605,TD!$B$33:$F$37,2,0)," ")</f>
        <v>O230117</v>
      </c>
      <c r="Q605" s="254" t="str">
        <f>IFERROR(VLOOKUP(C605,TD!$B$33:$F$37,3,0)," ")</f>
        <v>4503</v>
      </c>
      <c r="R605" s="254">
        <f>IFERROR(VLOOKUP(C605,TD!$B$33:$F$37,4,0)," ")</f>
        <v>20240255</v>
      </c>
      <c r="S605" s="252" t="s">
        <v>175</v>
      </c>
      <c r="T605" s="254" t="str">
        <f>IFERROR(VLOOKUP(S605,TD!$J$34:$K$44,2,0)," ")</f>
        <v>Servicio de atención a incidentes y emergencias.</v>
      </c>
      <c r="U605" s="249" t="str">
        <f>CONCATENATE(S605,"-",T605)</f>
        <v>04-Servicio de atención a incidentes y emergencias.</v>
      </c>
      <c r="V605" s="252" t="s">
        <v>232</v>
      </c>
      <c r="W605" s="254" t="str">
        <f>IFERROR(VLOOKUP(V605,TD!$N$34:$O$46,2,0)," ")</f>
        <v>Servicio de atención a emergencias y desastres</v>
      </c>
      <c r="X605" s="249" t="str">
        <f>CONCATENATE(V605,"_",W605)</f>
        <v>004_Servicio de atención a emergencias y desastres</v>
      </c>
      <c r="Y605" s="249" t="str">
        <f>CONCATENATE(U605," ",X605)</f>
        <v>04-Servicio de atención a incidentes y emergencias. 004_Servicio de atención a emergencias y desastres</v>
      </c>
      <c r="Z605" s="254" t="str">
        <f>CONCATENATE(P605,Q605,R605,S605,V605)</f>
        <v>O23011745032024025504004</v>
      </c>
      <c r="AA605" s="254" t="str">
        <f>IFERROR(VLOOKUP(Y605,TD!$K$47:$L$65,2,0)," ")</f>
        <v>PM/0131/0104/45030040255</v>
      </c>
      <c r="AB605" s="125" t="s">
        <v>138</v>
      </c>
      <c r="AC605" s="255" t="s">
        <v>204</v>
      </c>
    </row>
    <row r="606" spans="2:29" s="28" customFormat="1" ht="112" x14ac:dyDescent="0.35">
      <c r="B606" s="77">
        <v>20250674</v>
      </c>
      <c r="C606" s="50" t="s">
        <v>209</v>
      </c>
      <c r="D606" s="246" t="s">
        <v>169</v>
      </c>
      <c r="E606" s="51" t="s">
        <v>465</v>
      </c>
      <c r="F606" s="246" t="s">
        <v>876</v>
      </c>
      <c r="G606" s="246" t="s">
        <v>156</v>
      </c>
      <c r="H606" s="93">
        <v>80111600</v>
      </c>
      <c r="I606" s="247">
        <v>4</v>
      </c>
      <c r="J606" s="247">
        <v>6</v>
      </c>
      <c r="K606" s="52">
        <v>0</v>
      </c>
      <c r="L606" s="53">
        <v>21515700</v>
      </c>
      <c r="M606" s="246" t="s">
        <v>464</v>
      </c>
      <c r="N606" s="53" t="s">
        <v>113</v>
      </c>
      <c r="O606" s="51" t="s">
        <v>222</v>
      </c>
      <c r="P606" s="248" t="str">
        <f>IFERROR(VLOOKUP(C606,TD!$B$33:$F$37,2,0)," ")</f>
        <v>O230117</v>
      </c>
      <c r="Q606" s="248" t="str">
        <f>IFERROR(VLOOKUP(C606,TD!$B$33:$F$37,3,0)," ")</f>
        <v>4503</v>
      </c>
      <c r="R606" s="248">
        <f>IFERROR(VLOOKUP(C606,TD!$B$33:$F$37,4,0)," ")</f>
        <v>20240255</v>
      </c>
      <c r="S606" s="51" t="s">
        <v>175</v>
      </c>
      <c r="T606" s="248" t="str">
        <f>IFERROR(VLOOKUP(S606,TD!$J$34:$K$44,2,0)," ")</f>
        <v>Servicio de atención a incidentes y emergencias.</v>
      </c>
      <c r="U606" s="249" t="str">
        <f>CONCATENATE(S606,"-",T606)</f>
        <v>04-Servicio de atención a incidentes y emergencias.</v>
      </c>
      <c r="V606" s="51" t="s">
        <v>232</v>
      </c>
      <c r="W606" s="248" t="str">
        <f>IFERROR(VLOOKUP(V606,TD!$N$34:$O$46,2,0)," ")</f>
        <v>Servicio de atención a emergencias y desastres</v>
      </c>
      <c r="X606" s="249" t="str">
        <f>CONCATENATE(V606,"_",W606)</f>
        <v>004_Servicio de atención a emergencias y desastres</v>
      </c>
      <c r="Y606" s="249" t="str">
        <f>CONCATENATE(U606," ",X606)</f>
        <v>04-Servicio de atención a incidentes y emergencias. 004_Servicio de atención a emergencias y desastres</v>
      </c>
      <c r="Z606" s="248" t="str">
        <f>CONCATENATE(P606,Q606,R606,S606,V606)</f>
        <v>O23011745032024025504004</v>
      </c>
      <c r="AA606" s="248" t="str">
        <f>IFERROR(VLOOKUP(Y606,TD!$K$47:$L$65,2,0)," ")</f>
        <v>PM/0131/0104/45030040255</v>
      </c>
      <c r="AB606" s="53" t="s">
        <v>138</v>
      </c>
      <c r="AC606" s="250" t="s">
        <v>204</v>
      </c>
    </row>
    <row r="607" spans="2:29" s="28" customFormat="1" ht="56" x14ac:dyDescent="0.35">
      <c r="B607" s="77">
        <v>20250677</v>
      </c>
      <c r="C607" s="50" t="s">
        <v>346</v>
      </c>
      <c r="D607" s="246" t="s">
        <v>169</v>
      </c>
      <c r="E607" s="51" t="s">
        <v>465</v>
      </c>
      <c r="F607" s="246" t="s">
        <v>877</v>
      </c>
      <c r="G607" s="246" t="s">
        <v>109</v>
      </c>
      <c r="H607" s="93" t="s">
        <v>928</v>
      </c>
      <c r="I607" s="247">
        <v>6</v>
      </c>
      <c r="J607" s="247">
        <v>6</v>
      </c>
      <c r="K607" s="52">
        <v>0</v>
      </c>
      <c r="L607" s="53">
        <v>6000000000</v>
      </c>
      <c r="M607" s="246" t="s">
        <v>172</v>
      </c>
      <c r="N607" s="53" t="s">
        <v>95</v>
      </c>
      <c r="O607" s="51" t="s">
        <v>347</v>
      </c>
      <c r="P607" s="248" t="str">
        <f>IFERROR(VLOOKUP(C607,TD!$B$33:$F$37,2,0)," ")</f>
        <v>NA</v>
      </c>
      <c r="Q607" s="248" t="str">
        <f>IFERROR(VLOOKUP(C607,TD!$B$33:$F$37,3,0)," ")</f>
        <v>NA</v>
      </c>
      <c r="R607" s="248" t="str">
        <f>IFERROR(VLOOKUP(C607,TD!$B$33:$F$37,4,0)," ")</f>
        <v>NA</v>
      </c>
      <c r="S607" s="51" t="s">
        <v>406</v>
      </c>
      <c r="T607" s="248" t="str">
        <f>IFERROR(VLOOKUP(S607,TD!$J$34:$K$44,2,0)," ")</f>
        <v>N/A</v>
      </c>
      <c r="U607" s="249" t="str">
        <f>CONCATENATE(S607,"-",T607)</f>
        <v>N/A-N/A</v>
      </c>
      <c r="V607" s="51" t="s">
        <v>406</v>
      </c>
      <c r="W607" s="248" t="str">
        <f>IFERROR(VLOOKUP(V607,TD!$N$34:$O$46,2,0)," ")</f>
        <v>N/A</v>
      </c>
      <c r="X607" s="249" t="str">
        <f>CONCATENATE(V607,"_",W607)</f>
        <v>N/A_N/A</v>
      </c>
      <c r="Y607" s="249" t="str">
        <f>CONCATENATE(U607," ",X607)</f>
        <v>N/A-N/A N/A_N/A</v>
      </c>
      <c r="Z607" s="248" t="str">
        <f>CONCATENATE(P607,Q607,R607,S607,V607)</f>
        <v>NANANAN/AN/A</v>
      </c>
      <c r="AA607" s="248" t="str">
        <f>IFERROR(VLOOKUP(Y607,TD!$K$47:$L$65,2,0)," ")</f>
        <v>N/A</v>
      </c>
      <c r="AB607" s="53" t="s">
        <v>603</v>
      </c>
      <c r="AC607" s="250" t="s">
        <v>204</v>
      </c>
    </row>
    <row r="608" spans="2:29" s="28" customFormat="1" ht="56" x14ac:dyDescent="0.35">
      <c r="B608" s="77">
        <v>20250678</v>
      </c>
      <c r="C608" s="50" t="s">
        <v>208</v>
      </c>
      <c r="D608" s="246" t="s">
        <v>162</v>
      </c>
      <c r="E608" s="51" t="s">
        <v>355</v>
      </c>
      <c r="F608" s="246" t="s">
        <v>878</v>
      </c>
      <c r="G608" s="246" t="s">
        <v>137</v>
      </c>
      <c r="H608" s="93">
        <v>80111600</v>
      </c>
      <c r="I608" s="247">
        <v>4</v>
      </c>
      <c r="J608" s="247">
        <v>1</v>
      </c>
      <c r="K608" s="52">
        <v>0</v>
      </c>
      <c r="L608" s="53">
        <v>200000</v>
      </c>
      <c r="M608" s="246" t="s">
        <v>173</v>
      </c>
      <c r="N608" s="53" t="s">
        <v>128</v>
      </c>
      <c r="O608" s="51" t="s">
        <v>215</v>
      </c>
      <c r="P608" s="248" t="str">
        <f>IFERROR(VLOOKUP(C608,TD!$B$33:$F$37,2,0)," ")</f>
        <v>O230117</v>
      </c>
      <c r="Q608" s="248" t="str">
        <f>IFERROR(VLOOKUP(C608,TD!$B$33:$F$37,3,0)," ")</f>
        <v>4599</v>
      </c>
      <c r="R608" s="248">
        <f>IFERROR(VLOOKUP(C608,TD!$B$33:$F$37,4,0)," ")</f>
        <v>20240207</v>
      </c>
      <c r="S608" s="51" t="s">
        <v>179</v>
      </c>
      <c r="T608" s="248" t="str">
        <f>IFERROR(VLOOKUP(S608,TD!$J$34:$K$44,2,0)," ")</f>
        <v>Infraestructura Tecnológica   (Sistemas de Información y Tecnologia)</v>
      </c>
      <c r="U608" s="249" t="str">
        <f>CONCATENATE(S608,"-",T608)</f>
        <v>11-Infraestructura Tecnológica   (Sistemas de Información y Tecnologia)</v>
      </c>
      <c r="V608" s="51" t="s">
        <v>239</v>
      </c>
      <c r="W608" s="248" t="str">
        <f>IFERROR(VLOOKUP(V608,TD!$N$34:$O$46,2,0)," ")</f>
        <v>Servicios tecnológicos</v>
      </c>
      <c r="X608" s="249" t="str">
        <f>CONCATENATE(V608,"_",W608)</f>
        <v>007_Servicios tecnológicos</v>
      </c>
      <c r="Y608" s="249" t="str">
        <f>CONCATENATE(U608," ",X608)</f>
        <v>11-Infraestructura Tecnológica   (Sistemas de Información y Tecnologia) 007_Servicios tecnológicos</v>
      </c>
      <c r="Z608" s="248" t="str">
        <f>CONCATENATE(P608,Q608,R608,S608,V608)</f>
        <v>O23011745992024020711007</v>
      </c>
      <c r="AA608" s="248" t="str">
        <f>IFERROR(VLOOKUP(Y608,TD!$K$47:$L$65,2,0)," ")</f>
        <v>PM/0131/0111/45990070207</v>
      </c>
      <c r="AB608" s="53" t="s">
        <v>138</v>
      </c>
      <c r="AC608" s="250" t="s">
        <v>205</v>
      </c>
    </row>
    <row r="609" spans="2:29" s="28" customFormat="1" ht="98" x14ac:dyDescent="0.35">
      <c r="B609" s="77">
        <v>20250680</v>
      </c>
      <c r="C609" s="50" t="s">
        <v>208</v>
      </c>
      <c r="D609" s="246" t="s">
        <v>162</v>
      </c>
      <c r="E609" s="51" t="s">
        <v>355</v>
      </c>
      <c r="F609" s="246" t="s">
        <v>879</v>
      </c>
      <c r="G609" s="246" t="s">
        <v>154</v>
      </c>
      <c r="H609" s="93" t="s">
        <v>548</v>
      </c>
      <c r="I609" s="247">
        <v>4</v>
      </c>
      <c r="J609" s="247">
        <v>9</v>
      </c>
      <c r="K609" s="52">
        <v>0</v>
      </c>
      <c r="L609" s="53">
        <v>18504500</v>
      </c>
      <c r="M609" s="246" t="s">
        <v>464</v>
      </c>
      <c r="N609" s="53" t="s">
        <v>113</v>
      </c>
      <c r="O609" s="51" t="s">
        <v>214</v>
      </c>
      <c r="P609" s="248" t="str">
        <f>IFERROR(VLOOKUP(C609,TD!$B$33:$F$37,2,0)," ")</f>
        <v>O230117</v>
      </c>
      <c r="Q609" s="248" t="str">
        <f>IFERROR(VLOOKUP(C609,TD!$B$33:$F$37,3,0)," ")</f>
        <v>4599</v>
      </c>
      <c r="R609" s="248">
        <f>IFERROR(VLOOKUP(C609,TD!$B$33:$F$37,4,0)," ")</f>
        <v>20240207</v>
      </c>
      <c r="S609" s="51" t="s">
        <v>179</v>
      </c>
      <c r="T609" s="248" t="str">
        <f>IFERROR(VLOOKUP(S609,TD!$J$34:$K$44,2,0)," ")</f>
        <v>Infraestructura Tecnológica   (Sistemas de Información y Tecnologia)</v>
      </c>
      <c r="U609" s="249" t="str">
        <f>CONCATENATE(S609,"-",T609)</f>
        <v>11-Infraestructura Tecnológica   (Sistemas de Información y Tecnologia)</v>
      </c>
      <c r="V609" s="51" t="s">
        <v>239</v>
      </c>
      <c r="W609" s="248" t="str">
        <f>IFERROR(VLOOKUP(V609,TD!$N$34:$O$46,2,0)," ")</f>
        <v>Servicios tecnológicos</v>
      </c>
      <c r="X609" s="249" t="str">
        <f>CONCATENATE(V609,"_",W609)</f>
        <v>007_Servicios tecnológicos</v>
      </c>
      <c r="Y609" s="249" t="str">
        <f>CONCATENATE(U609," ",X609)</f>
        <v>11-Infraestructura Tecnológica   (Sistemas de Información y Tecnologia) 007_Servicios tecnológicos</v>
      </c>
      <c r="Z609" s="248" t="str">
        <f>CONCATENATE(P609,Q609,R609,S609,V609)</f>
        <v>O23011745992024020711007</v>
      </c>
      <c r="AA609" s="248" t="str">
        <f>IFERROR(VLOOKUP(Y609,TD!$K$47:$L$65,2,0)," ")</f>
        <v>PM/0131/0111/45990070207</v>
      </c>
      <c r="AB609" s="53" t="s">
        <v>125</v>
      </c>
      <c r="AC609" s="250" t="s">
        <v>204</v>
      </c>
    </row>
    <row r="610" spans="2:29" s="28" customFormat="1" ht="70" x14ac:dyDescent="0.35">
      <c r="B610" s="127">
        <v>20250682</v>
      </c>
      <c r="C610" s="129" t="s">
        <v>209</v>
      </c>
      <c r="D610" s="251" t="s">
        <v>165</v>
      </c>
      <c r="E610" s="252" t="s">
        <v>484</v>
      </c>
      <c r="F610" s="251" t="s">
        <v>948</v>
      </c>
      <c r="G610" s="251" t="s">
        <v>155</v>
      </c>
      <c r="H610" s="130">
        <v>80111600</v>
      </c>
      <c r="I610" s="253">
        <v>4</v>
      </c>
      <c r="J610" s="253">
        <v>8</v>
      </c>
      <c r="K610" s="126">
        <v>0</v>
      </c>
      <c r="L610" s="125">
        <f>65000000-17000000</f>
        <v>48000000</v>
      </c>
      <c r="M610" s="251" t="s">
        <v>464</v>
      </c>
      <c r="N610" s="125" t="s">
        <v>113</v>
      </c>
      <c r="O610" s="252" t="s">
        <v>229</v>
      </c>
      <c r="P610" s="254" t="str">
        <f>IFERROR(VLOOKUP(C610,TD!$B$33:$F$37,2,0)," ")</f>
        <v>O230117</v>
      </c>
      <c r="Q610" s="254" t="str">
        <f>IFERROR(VLOOKUP(C610,TD!$B$33:$F$37,3,0)," ")</f>
        <v>4503</v>
      </c>
      <c r="R610" s="254">
        <f>IFERROR(VLOOKUP(C610,TD!$B$33:$F$37,4,0)," ")</f>
        <v>20240255</v>
      </c>
      <c r="S610" s="252" t="s">
        <v>183</v>
      </c>
      <c r="T610" s="254" t="str">
        <f>IFERROR(VLOOKUP(S610,TD!$J$34:$K$44,2,0)," ")</f>
        <v>Servicio de formación en gestión del riesgo de incendios para el personal UAECOB</v>
      </c>
      <c r="U610" s="249" t="str">
        <f>CONCATENATE(S610,"-",T610)</f>
        <v>07-Servicio de formación en gestión del riesgo de incendios para el personal UAECOB</v>
      </c>
      <c r="V610" s="252" t="s">
        <v>233</v>
      </c>
      <c r="W610" s="254" t="str">
        <f>IFERROR(VLOOKUP(V610,TD!$N$34:$O$46,2,0)," ")</f>
        <v>Servicio de educación informal</v>
      </c>
      <c r="X610" s="249" t="str">
        <f>CONCATENATE(V610,"_",W610)</f>
        <v>002_Servicio de educación informal</v>
      </c>
      <c r="Y610" s="249" t="str">
        <f>CONCATENATE(U610," ",X610)</f>
        <v>07-Servicio de formación en gestión del riesgo de incendios para el personal UAECOB 002_Servicio de educación informal</v>
      </c>
      <c r="Z610" s="254" t="str">
        <f>CONCATENATE(P610,Q610,R610,S610,V610)</f>
        <v>O23011745032024025507002</v>
      </c>
      <c r="AA610" s="254" t="str">
        <f>IFERROR(VLOOKUP(Y610,TD!$K$47:$L$65,2,0)," ")</f>
        <v>PM/0131/0107/45030020255</v>
      </c>
      <c r="AB610" s="125" t="s">
        <v>138</v>
      </c>
      <c r="AC610" s="255" t="s">
        <v>204</v>
      </c>
    </row>
    <row r="611" spans="2:29" s="28" customFormat="1" ht="56" x14ac:dyDescent="0.35">
      <c r="B611" s="77">
        <v>20250683</v>
      </c>
      <c r="C611" s="50" t="s">
        <v>209</v>
      </c>
      <c r="D611" s="246" t="s">
        <v>165</v>
      </c>
      <c r="E611" s="51" t="s">
        <v>484</v>
      </c>
      <c r="F611" s="246" t="s">
        <v>880</v>
      </c>
      <c r="G611" s="246" t="s">
        <v>155</v>
      </c>
      <c r="H611" s="93">
        <v>80111600</v>
      </c>
      <c r="I611" s="247">
        <v>4</v>
      </c>
      <c r="J611" s="247">
        <v>8</v>
      </c>
      <c r="K611" s="52">
        <v>0</v>
      </c>
      <c r="L611" s="53">
        <f>74000000-400000</f>
        <v>73600000</v>
      </c>
      <c r="M611" s="246" t="s">
        <v>464</v>
      </c>
      <c r="N611" s="53" t="s">
        <v>113</v>
      </c>
      <c r="O611" s="51" t="s">
        <v>229</v>
      </c>
      <c r="P611" s="248" t="str">
        <f>IFERROR(VLOOKUP(C611,TD!$B$33:$F$37,2,0)," ")</f>
        <v>O230117</v>
      </c>
      <c r="Q611" s="248" t="str">
        <f>IFERROR(VLOOKUP(C611,TD!$B$33:$F$37,3,0)," ")</f>
        <v>4503</v>
      </c>
      <c r="R611" s="248">
        <f>IFERROR(VLOOKUP(C611,TD!$B$33:$F$37,4,0)," ")</f>
        <v>20240255</v>
      </c>
      <c r="S611" s="51" t="s">
        <v>183</v>
      </c>
      <c r="T611" s="248" t="str">
        <f>IFERROR(VLOOKUP(S611,TD!$J$34:$K$44,2,0)," ")</f>
        <v>Servicio de formación en gestión del riesgo de incendios para el personal UAECOB</v>
      </c>
      <c r="U611" s="249" t="str">
        <f>CONCATENATE(S611,"-",T611)</f>
        <v>07-Servicio de formación en gestión del riesgo de incendios para el personal UAECOB</v>
      </c>
      <c r="V611" s="51" t="s">
        <v>233</v>
      </c>
      <c r="W611" s="248" t="str">
        <f>IFERROR(VLOOKUP(V611,TD!$N$34:$O$46,2,0)," ")</f>
        <v>Servicio de educación informal</v>
      </c>
      <c r="X611" s="249" t="str">
        <f>CONCATENATE(V611,"_",W611)</f>
        <v>002_Servicio de educación informal</v>
      </c>
      <c r="Y611" s="249" t="str">
        <f>CONCATENATE(U611," ",X611)</f>
        <v>07-Servicio de formación en gestión del riesgo de incendios para el personal UAECOB 002_Servicio de educación informal</v>
      </c>
      <c r="Z611" s="248" t="str">
        <f>CONCATENATE(P611,Q611,R611,S611,V611)</f>
        <v>O23011745032024025507002</v>
      </c>
      <c r="AA611" s="248" t="str">
        <f>IFERROR(VLOOKUP(Y611,TD!$K$47:$L$65,2,0)," ")</f>
        <v>PM/0131/0107/45030020255</v>
      </c>
      <c r="AB611" s="53" t="s">
        <v>138</v>
      </c>
      <c r="AC611" s="250" t="s">
        <v>204</v>
      </c>
    </row>
    <row r="612" spans="2:29" s="28" customFormat="1" ht="70" x14ac:dyDescent="0.35">
      <c r="B612" s="77">
        <v>20250684</v>
      </c>
      <c r="C612" s="50" t="s">
        <v>209</v>
      </c>
      <c r="D612" s="246" t="s">
        <v>168</v>
      </c>
      <c r="E612" s="51" t="s">
        <v>600</v>
      </c>
      <c r="F612" s="246" t="s">
        <v>883</v>
      </c>
      <c r="G612" s="246" t="s">
        <v>119</v>
      </c>
      <c r="H612" s="93" t="s">
        <v>426</v>
      </c>
      <c r="I612" s="247">
        <v>3</v>
      </c>
      <c r="J612" s="247">
        <v>2</v>
      </c>
      <c r="K612" s="52">
        <v>0</v>
      </c>
      <c r="L612" s="53">
        <v>25000000</v>
      </c>
      <c r="M612" s="246" t="s">
        <v>464</v>
      </c>
      <c r="N612" s="53" t="s">
        <v>95</v>
      </c>
      <c r="O612" s="51" t="s">
        <v>224</v>
      </c>
      <c r="P612" s="248" t="str">
        <f>IFERROR(VLOOKUP(C612,TD!$B$33:$F$37,2,0)," ")</f>
        <v>O230117</v>
      </c>
      <c r="Q612" s="248" t="str">
        <f>IFERROR(VLOOKUP(C612,TD!$B$33:$F$37,3,0)," ")</f>
        <v>4503</v>
      </c>
      <c r="R612" s="248">
        <f>IFERROR(VLOOKUP(C612,TD!$B$33:$F$37,4,0)," ")</f>
        <v>20240255</v>
      </c>
      <c r="S612" s="51" t="s">
        <v>187</v>
      </c>
      <c r="T612" s="248" t="str">
        <f>IFERROR(VLOOKUP(S612,TD!$J$34:$K$44,2,0)," ")</f>
        <v>Servicio de mantenimiento, dotación (HEA´s y equipo menor) y adquisición de vehiculos   especializados para la atención de emergencias.</v>
      </c>
      <c r="U612" s="249" t="str">
        <f>CONCATENATE(S612,"-",T612)</f>
        <v>09-Servicio de mantenimiento, dotación (HEA´s y equipo menor) y adquisición de vehiculos   especializados para la atención de emergencias.</v>
      </c>
      <c r="V612" s="51" t="s">
        <v>232</v>
      </c>
      <c r="W612" s="248" t="str">
        <f>IFERROR(VLOOKUP(V612,TD!$N$34:$O$46,2,0)," ")</f>
        <v>Servicio de atención a emergencias y desastres</v>
      </c>
      <c r="X612" s="249" t="str">
        <f>CONCATENATE(V612,"_",W612)</f>
        <v>004_Servicio de atención a emergencias y desastres</v>
      </c>
      <c r="Y612" s="249" t="str">
        <f>CONCATENATE(U612," ",X612)</f>
        <v>09-Servicio de mantenimiento, dotación (HEA´s y equipo menor) y adquisición de vehiculos   especializados para la atención de emergencias. 004_Servicio de atención a emergencias y desastres</v>
      </c>
      <c r="Z612" s="248" t="str">
        <f>CONCATENATE(P612,Q612,R612,S612,V612)</f>
        <v>O23011745032024025509004</v>
      </c>
      <c r="AA612" s="248" t="str">
        <f>IFERROR(VLOOKUP(Y612,TD!$K$47:$L$65,2,0)," ")</f>
        <v>PM/0131/0109/45030040255</v>
      </c>
      <c r="AB612" s="53" t="s">
        <v>87</v>
      </c>
      <c r="AC612" s="250" t="s">
        <v>205</v>
      </c>
    </row>
    <row r="613" spans="2:29" s="28" customFormat="1" ht="70" x14ac:dyDescent="0.35">
      <c r="B613" s="77">
        <v>20250685</v>
      </c>
      <c r="C613" s="50" t="s">
        <v>346</v>
      </c>
      <c r="D613" s="246" t="s">
        <v>166</v>
      </c>
      <c r="E613" s="51" t="s">
        <v>558</v>
      </c>
      <c r="F613" s="246" t="s">
        <v>580</v>
      </c>
      <c r="G613" s="246" t="s">
        <v>96</v>
      </c>
      <c r="H613" s="93" t="s">
        <v>627</v>
      </c>
      <c r="I613" s="247">
        <v>8</v>
      </c>
      <c r="J613" s="247">
        <v>4</v>
      </c>
      <c r="K613" s="52">
        <v>15</v>
      </c>
      <c r="L613" s="53">
        <f>148197000+151803000</f>
        <v>300000000</v>
      </c>
      <c r="M613" s="246" t="s">
        <v>172</v>
      </c>
      <c r="N613" s="53" t="s">
        <v>85</v>
      </c>
      <c r="O613" s="51" t="s">
        <v>347</v>
      </c>
      <c r="P613" s="248" t="str">
        <f>IFERROR(VLOOKUP(C613,TD!$B$33:$F$37,2,0)," ")</f>
        <v>NA</v>
      </c>
      <c r="Q613" s="248" t="str">
        <f>IFERROR(VLOOKUP(C613,TD!$B$33:$F$37,3,0)," ")</f>
        <v>NA</v>
      </c>
      <c r="R613" s="248" t="str">
        <f>IFERROR(VLOOKUP(C613,TD!$B$33:$F$37,4,0)," ")</f>
        <v>NA</v>
      </c>
      <c r="S613" s="51" t="s">
        <v>406</v>
      </c>
      <c r="T613" s="248" t="str">
        <f>IFERROR(VLOOKUP(S613,TD!$J$34:$K$44,2,0)," ")</f>
        <v>N/A</v>
      </c>
      <c r="U613" s="249" t="str">
        <f>CONCATENATE(S613,"-",T613)</f>
        <v>N/A-N/A</v>
      </c>
      <c r="V613" s="51" t="s">
        <v>406</v>
      </c>
      <c r="W613" s="248" t="str">
        <f>IFERROR(VLOOKUP(V613,TD!$N$34:$O$46,2,0)," ")</f>
        <v>N/A</v>
      </c>
      <c r="X613" s="249" t="str">
        <f>CONCATENATE(V613,"_",W613)</f>
        <v>N/A_N/A</v>
      </c>
      <c r="Y613" s="249" t="str">
        <f>CONCATENATE(U613," ",X613)</f>
        <v>N/A-N/A N/A_N/A</v>
      </c>
      <c r="Z613" s="248" t="str">
        <f>CONCATENATE(P613,Q613,R613,S613,V613)</f>
        <v>NANANAN/AN/A</v>
      </c>
      <c r="AA613" s="248" t="str">
        <f>IFERROR(VLOOKUP(Y613,TD!$K$47:$L$65,2,0)," ")</f>
        <v>N/A</v>
      </c>
      <c r="AB613" s="53" t="s">
        <v>348</v>
      </c>
      <c r="AC613" s="250" t="s">
        <v>204</v>
      </c>
    </row>
    <row r="614" spans="2:29" s="28" customFormat="1" ht="56" x14ac:dyDescent="0.35">
      <c r="B614" s="127">
        <v>20250686</v>
      </c>
      <c r="C614" s="129" t="s">
        <v>208</v>
      </c>
      <c r="D614" s="251" t="s">
        <v>166</v>
      </c>
      <c r="E614" s="252" t="s">
        <v>558</v>
      </c>
      <c r="F614" s="251" t="s">
        <v>580</v>
      </c>
      <c r="G614" s="251" t="s">
        <v>96</v>
      </c>
      <c r="H614" s="130" t="s">
        <v>627</v>
      </c>
      <c r="I614" s="253">
        <v>8</v>
      </c>
      <c r="J614" s="253">
        <v>4</v>
      </c>
      <c r="K614" s="126">
        <v>15</v>
      </c>
      <c r="L614" s="125">
        <v>445347705</v>
      </c>
      <c r="M614" s="251" t="s">
        <v>464</v>
      </c>
      <c r="N614" s="125" t="s">
        <v>85</v>
      </c>
      <c r="O614" s="252" t="s">
        <v>218</v>
      </c>
      <c r="P614" s="254" t="str">
        <f>IFERROR(VLOOKUP(C614,TD!$B$33:$F$37,2,0)," ")</f>
        <v>O230117</v>
      </c>
      <c r="Q614" s="254" t="str">
        <f>IFERROR(VLOOKUP(C614,TD!$B$33:$F$37,3,0)," ")</f>
        <v>4599</v>
      </c>
      <c r="R614" s="254">
        <f>IFERROR(VLOOKUP(C614,TD!$B$33:$F$37,4,0)," ")</f>
        <v>20240207</v>
      </c>
      <c r="S614" s="252" t="s">
        <v>185</v>
      </c>
      <c r="T614" s="254" t="str">
        <f>IFERROR(VLOOKUP(S614,TD!$J$34:$K$44,2,0)," ")</f>
        <v>Infraestructura física, mantenimiento y dotación (Sedes construidas, mantenidas reforzadas)</v>
      </c>
      <c r="U614" s="249" t="str">
        <f>CONCATENATE(S614,"-",T614)</f>
        <v>08-Infraestructura física, mantenimiento y dotación (Sedes construidas, mantenidas reforzadas)</v>
      </c>
      <c r="V614" s="252" t="s">
        <v>238</v>
      </c>
      <c r="W614" s="254" t="str">
        <f>IFERROR(VLOOKUP(V614,TD!$N$34:$O$46,2,0)," ")</f>
        <v>Sedes mantenidas</v>
      </c>
      <c r="X614" s="249" t="str">
        <f>CONCATENATE(V614,"_",W614)</f>
        <v>016_Sedes mantenidas</v>
      </c>
      <c r="Y614" s="249" t="str">
        <f>CONCATENATE(U614," ",X614)</f>
        <v>08-Infraestructura física, mantenimiento y dotación (Sedes construidas, mantenidas reforzadas) 016_Sedes mantenidas</v>
      </c>
      <c r="Z614" s="254" t="str">
        <f>CONCATENATE(P614,Q614,R614,S614,V614)</f>
        <v>O23011745992024020708016</v>
      </c>
      <c r="AA614" s="254" t="str">
        <f>IFERROR(VLOOKUP(Y614,TD!$K$47:$L$65,2,0)," ")</f>
        <v>PM/0131/0108/45990160207</v>
      </c>
      <c r="AB614" s="125" t="s">
        <v>141</v>
      </c>
      <c r="AC614" s="255" t="s">
        <v>204</v>
      </c>
    </row>
    <row r="615" spans="2:29" s="28" customFormat="1" ht="84" x14ac:dyDescent="0.35">
      <c r="B615" s="77">
        <v>20250687</v>
      </c>
      <c r="C615" s="50" t="s">
        <v>209</v>
      </c>
      <c r="D615" s="246" t="s">
        <v>167</v>
      </c>
      <c r="E615" s="51" t="s">
        <v>505</v>
      </c>
      <c r="F615" s="246" t="s">
        <v>885</v>
      </c>
      <c r="G615" s="246" t="s">
        <v>96</v>
      </c>
      <c r="H615" s="93" t="s">
        <v>886</v>
      </c>
      <c r="I615" s="247">
        <v>4</v>
      </c>
      <c r="J615" s="247">
        <v>4</v>
      </c>
      <c r="K615" s="52">
        <v>0</v>
      </c>
      <c r="L615" s="53">
        <v>19086500</v>
      </c>
      <c r="M615" s="246" t="s">
        <v>464</v>
      </c>
      <c r="N615" s="53" t="s">
        <v>100</v>
      </c>
      <c r="O615" s="51" t="s">
        <v>225</v>
      </c>
      <c r="P615" s="248" t="str">
        <f>IFERROR(VLOOKUP(C615,TD!$B$33:$F$37,2,0)," ")</f>
        <v>O230117</v>
      </c>
      <c r="Q615" s="248" t="str">
        <f>IFERROR(VLOOKUP(C615,TD!$B$33:$F$37,3,0)," ")</f>
        <v>4503</v>
      </c>
      <c r="R615" s="248">
        <f>IFERROR(VLOOKUP(C615,TD!$B$33:$F$37,4,0)," ")</f>
        <v>20240255</v>
      </c>
      <c r="S615" s="51" t="s">
        <v>179</v>
      </c>
      <c r="T615" s="248" t="str">
        <f>IFERROR(VLOOKUP(S615,TD!$J$34:$K$44,2,0)," ")</f>
        <v>Infraestructura Tecnológica   (Sistemas de Información y Tecnologia)</v>
      </c>
      <c r="U615" s="249" t="str">
        <f>CONCATENATE(S615,"-",T615)</f>
        <v>11-Infraestructura Tecnológica   (Sistemas de Información y Tecnologia)</v>
      </c>
      <c r="V615" s="51" t="s">
        <v>235</v>
      </c>
      <c r="W615" s="248" t="str">
        <f>IFERROR(VLOOKUP(V615,TD!$N$34:$O$46,2,0)," ")</f>
        <v>"Servicio de monitoreo y seguimiento para la gestión del riesgo"</v>
      </c>
      <c r="X615" s="249" t="str">
        <f>CONCATENATE(V615,"_",W615)</f>
        <v>018_"Servicio de monitoreo y seguimiento para la gestión del riesgo"</v>
      </c>
      <c r="Y615" s="249" t="str">
        <f>CONCATENATE(U615," ",X615)</f>
        <v>11-Infraestructura Tecnológica   (Sistemas de Información y Tecnologia) 018_"Servicio de monitoreo y seguimiento para la gestión del riesgo"</v>
      </c>
      <c r="Z615" s="248" t="str">
        <f>CONCATENATE(P615,Q615,R615,S615,V615)</f>
        <v>O23011745032024025511018</v>
      </c>
      <c r="AA615" s="248" t="str">
        <f>IFERROR(VLOOKUP(Y615,TD!$K$47:$L$65,2,0)," ")</f>
        <v>PM/0131/0111/45030180255</v>
      </c>
      <c r="AB615" s="53" t="s">
        <v>138</v>
      </c>
      <c r="AC615" s="250" t="s">
        <v>205</v>
      </c>
    </row>
    <row r="616" spans="2:29" s="28" customFormat="1" ht="84" x14ac:dyDescent="0.35">
      <c r="B616" s="77">
        <v>20250688</v>
      </c>
      <c r="C616" s="50" t="s">
        <v>209</v>
      </c>
      <c r="D616" s="246" t="s">
        <v>167</v>
      </c>
      <c r="E616" s="51" t="s">
        <v>505</v>
      </c>
      <c r="F616" s="246" t="s">
        <v>887</v>
      </c>
      <c r="G616" s="246" t="s">
        <v>109</v>
      </c>
      <c r="H616" s="93" t="s">
        <v>1332</v>
      </c>
      <c r="I616" s="247">
        <v>5</v>
      </c>
      <c r="J616" s="247">
        <v>4</v>
      </c>
      <c r="K616" s="52">
        <v>0</v>
      </c>
      <c r="L616" s="53">
        <f>1560000+2440000</f>
        <v>4000000</v>
      </c>
      <c r="M616" s="246" t="s">
        <v>464</v>
      </c>
      <c r="N616" s="53" t="s">
        <v>123</v>
      </c>
      <c r="O616" s="51" t="s">
        <v>221</v>
      </c>
      <c r="P616" s="248" t="str">
        <f>IFERROR(VLOOKUP(C616,TD!$B$33:$F$37,2,0)," ")</f>
        <v>O230117</v>
      </c>
      <c r="Q616" s="248" t="str">
        <f>IFERROR(VLOOKUP(C616,TD!$B$33:$F$37,3,0)," ")</f>
        <v>4503</v>
      </c>
      <c r="R616" s="248">
        <f>IFERROR(VLOOKUP(C616,TD!$B$33:$F$37,4,0)," ")</f>
        <v>20240255</v>
      </c>
      <c r="S616" s="51" t="s">
        <v>179</v>
      </c>
      <c r="T616" s="248" t="str">
        <f>IFERROR(VLOOKUP(S616,TD!$J$34:$K$44,2,0)," ")</f>
        <v>Infraestructura Tecnológica   (Sistemas de Información y Tecnologia)</v>
      </c>
      <c r="U616" s="249" t="str">
        <f>CONCATENATE(S616,"-",T616)</f>
        <v>11-Infraestructura Tecnológica   (Sistemas de Información y Tecnologia)</v>
      </c>
      <c r="V616" s="51" t="s">
        <v>235</v>
      </c>
      <c r="W616" s="248" t="str">
        <f>IFERROR(VLOOKUP(V616,TD!$N$34:$O$46,2,0)," ")</f>
        <v>"Servicio de monitoreo y seguimiento para la gestión del riesgo"</v>
      </c>
      <c r="X616" s="249" t="str">
        <f>CONCATENATE(V616,"_",W616)</f>
        <v>018_"Servicio de monitoreo y seguimiento para la gestión del riesgo"</v>
      </c>
      <c r="Y616" s="249" t="str">
        <f>CONCATENATE(U616," ",X616)</f>
        <v>11-Infraestructura Tecnológica   (Sistemas de Información y Tecnologia) 018_"Servicio de monitoreo y seguimiento para la gestión del riesgo"</v>
      </c>
      <c r="Z616" s="248" t="str">
        <f>CONCATENATE(P616,Q616,R616,S616,V616)</f>
        <v>O23011745032024025511018</v>
      </c>
      <c r="AA616" s="248" t="str">
        <f>IFERROR(VLOOKUP(Y616,TD!$K$47:$L$65,2,0)," ")</f>
        <v>PM/0131/0111/45030180255</v>
      </c>
      <c r="AB616" s="53" t="s">
        <v>138</v>
      </c>
      <c r="AC616" s="250" t="s">
        <v>204</v>
      </c>
    </row>
    <row r="617" spans="2:29" s="28" customFormat="1" ht="84" x14ac:dyDescent="0.35">
      <c r="B617" s="77">
        <v>20250689</v>
      </c>
      <c r="C617" s="50" t="s">
        <v>209</v>
      </c>
      <c r="D617" s="246" t="s">
        <v>167</v>
      </c>
      <c r="E617" s="51" t="s">
        <v>505</v>
      </c>
      <c r="F617" s="246" t="s">
        <v>373</v>
      </c>
      <c r="G617" s="246" t="s">
        <v>155</v>
      </c>
      <c r="H617" s="93">
        <v>80111600</v>
      </c>
      <c r="I617" s="247">
        <v>9</v>
      </c>
      <c r="J617" s="247">
        <v>4</v>
      </c>
      <c r="K617" s="52">
        <v>0</v>
      </c>
      <c r="L617" s="53">
        <v>18000000</v>
      </c>
      <c r="M617" s="246" t="s">
        <v>464</v>
      </c>
      <c r="N617" s="53" t="s">
        <v>113</v>
      </c>
      <c r="O617" s="51" t="s">
        <v>221</v>
      </c>
      <c r="P617" s="248" t="str">
        <f>IFERROR(VLOOKUP(C617,TD!$B$33:$F$37,2,0)," ")</f>
        <v>O230117</v>
      </c>
      <c r="Q617" s="248" t="str">
        <f>IFERROR(VLOOKUP(C617,TD!$B$33:$F$37,3,0)," ")</f>
        <v>4503</v>
      </c>
      <c r="R617" s="248">
        <f>IFERROR(VLOOKUP(C617,TD!$B$33:$F$37,4,0)," ")</f>
        <v>20240255</v>
      </c>
      <c r="S617" s="51" t="s">
        <v>181</v>
      </c>
      <c r="T617" s="248" t="str">
        <f>IFERROR(VLOOKUP(S617,TD!$J$34:$K$44,2,0)," ")</f>
        <v>Servicio de inspecciones técnicas realizadas</v>
      </c>
      <c r="U617" s="249" t="str">
        <f>CONCATENATE(S617,"-",T617)</f>
        <v>06-Servicio de inspecciones técnicas realizadas</v>
      </c>
      <c r="V617" s="51" t="s">
        <v>234</v>
      </c>
      <c r="W617" s="248" t="str">
        <f>IFERROR(VLOOKUP(V617,TD!$N$34:$O$46,2,0)," ")</f>
        <v>Servicio prevención y control de incendios</v>
      </c>
      <c r="X617" s="249" t="str">
        <f>CONCATENATE(V617,"_",W617)</f>
        <v>035_Servicio prevención y control de incendios</v>
      </c>
      <c r="Y617" s="249" t="str">
        <f>CONCATENATE(U617," ",X617)</f>
        <v>06-Servicio de inspecciones técnicas realizadas 035_Servicio prevención y control de incendios</v>
      </c>
      <c r="Z617" s="248" t="str">
        <f>CONCATENATE(P617,Q617,R617,S617,V617)</f>
        <v>O23011745032024025506035</v>
      </c>
      <c r="AA617" s="248" t="str">
        <f>IFERROR(VLOOKUP(Y617,TD!$K$47:$L$65,2,0)," ")</f>
        <v>PM/0131/0106/45030350255</v>
      </c>
      <c r="AB617" s="53" t="s">
        <v>138</v>
      </c>
      <c r="AC617" s="250" t="s">
        <v>204</v>
      </c>
    </row>
    <row r="618" spans="2:29" s="28" customFormat="1" ht="56" x14ac:dyDescent="0.35">
      <c r="B618" s="77">
        <v>20250690</v>
      </c>
      <c r="C618" s="50" t="s">
        <v>208</v>
      </c>
      <c r="D618" s="246" t="s">
        <v>162</v>
      </c>
      <c r="E618" s="51" t="s">
        <v>355</v>
      </c>
      <c r="F618" s="246" t="s">
        <v>888</v>
      </c>
      <c r="G618" s="246" t="s">
        <v>155</v>
      </c>
      <c r="H618" s="93">
        <v>80111600</v>
      </c>
      <c r="I618" s="247">
        <v>4</v>
      </c>
      <c r="J618" s="247">
        <v>9</v>
      </c>
      <c r="K618" s="52">
        <v>0</v>
      </c>
      <c r="L618" s="53">
        <v>67050000</v>
      </c>
      <c r="M618" s="246" t="s">
        <v>464</v>
      </c>
      <c r="N618" s="53" t="s">
        <v>113</v>
      </c>
      <c r="O618" s="51" t="s">
        <v>215</v>
      </c>
      <c r="P618" s="248" t="str">
        <f>IFERROR(VLOOKUP(C618,TD!$B$33:$F$37,2,0)," ")</f>
        <v>O230117</v>
      </c>
      <c r="Q618" s="248" t="str">
        <f>IFERROR(VLOOKUP(C618,TD!$B$33:$F$37,3,0)," ")</f>
        <v>4599</v>
      </c>
      <c r="R618" s="248">
        <f>IFERROR(VLOOKUP(C618,TD!$B$33:$F$37,4,0)," ")</f>
        <v>20240207</v>
      </c>
      <c r="S618" s="51" t="s">
        <v>179</v>
      </c>
      <c r="T618" s="248" t="str">
        <f>IFERROR(VLOOKUP(S618,TD!$J$34:$K$44,2,0)," ")</f>
        <v>Infraestructura Tecnológica   (Sistemas de Información y Tecnologia)</v>
      </c>
      <c r="U618" s="249" t="str">
        <f>CONCATENATE(S618,"-",T618)</f>
        <v>11-Infraestructura Tecnológica   (Sistemas de Información y Tecnologia)</v>
      </c>
      <c r="V618" s="51" t="s">
        <v>239</v>
      </c>
      <c r="W618" s="248" t="str">
        <f>IFERROR(VLOOKUP(V618,TD!$N$34:$O$46,2,0)," ")</f>
        <v>Servicios tecnológicos</v>
      </c>
      <c r="X618" s="249" t="str">
        <f>CONCATENATE(V618,"_",W618)</f>
        <v>007_Servicios tecnológicos</v>
      </c>
      <c r="Y618" s="249" t="str">
        <f>CONCATENATE(U618," ",X618)</f>
        <v>11-Infraestructura Tecnológica   (Sistemas de Información y Tecnologia) 007_Servicios tecnológicos</v>
      </c>
      <c r="Z618" s="248" t="str">
        <f>CONCATENATE(P618,Q618,R618,S618,V618)</f>
        <v>O23011745992024020711007</v>
      </c>
      <c r="AA618" s="248" t="str">
        <f>IFERROR(VLOOKUP(Y618,TD!$K$47:$L$65,2,0)," ")</f>
        <v>PM/0131/0111/45990070207</v>
      </c>
      <c r="AB618" s="53" t="s">
        <v>138</v>
      </c>
      <c r="AC618" s="250" t="s">
        <v>204</v>
      </c>
    </row>
    <row r="619" spans="2:29" s="28" customFormat="1" ht="84" x14ac:dyDescent="0.35">
      <c r="B619" s="77">
        <v>20250693</v>
      </c>
      <c r="C619" s="50" t="s">
        <v>346</v>
      </c>
      <c r="D619" s="246" t="s">
        <v>166</v>
      </c>
      <c r="E619" s="51" t="s">
        <v>558</v>
      </c>
      <c r="F619" s="50" t="s">
        <v>889</v>
      </c>
      <c r="G619" s="246" t="s">
        <v>133</v>
      </c>
      <c r="H619" s="93" t="s">
        <v>616</v>
      </c>
      <c r="I619" s="247">
        <v>4</v>
      </c>
      <c r="J619" s="247">
        <v>4</v>
      </c>
      <c r="K619" s="52">
        <v>0</v>
      </c>
      <c r="L619" s="53">
        <v>18003072</v>
      </c>
      <c r="M619" s="246" t="s">
        <v>172</v>
      </c>
      <c r="N619" s="53" t="s">
        <v>85</v>
      </c>
      <c r="O619" s="51" t="s">
        <v>347</v>
      </c>
      <c r="P619" s="248" t="str">
        <f>IFERROR(VLOOKUP(C619,TD!$B$33:$F$37,2,0)," ")</f>
        <v>NA</v>
      </c>
      <c r="Q619" s="248" t="str">
        <f>IFERROR(VLOOKUP(C619,TD!$B$33:$F$37,3,0)," ")</f>
        <v>NA</v>
      </c>
      <c r="R619" s="248" t="str">
        <f>IFERROR(VLOOKUP(C619,TD!$B$33:$F$37,4,0)," ")</f>
        <v>NA</v>
      </c>
      <c r="S619" s="51" t="s">
        <v>406</v>
      </c>
      <c r="T619" s="248" t="str">
        <f>IFERROR(VLOOKUP(S619,TD!$J$34:$K$44,2,0)," ")</f>
        <v>N/A</v>
      </c>
      <c r="U619" s="249" t="str">
        <f>CONCATENATE(S619,"-",T619)</f>
        <v>N/A-N/A</v>
      </c>
      <c r="V619" s="51" t="s">
        <v>406</v>
      </c>
      <c r="W619" s="248" t="str">
        <f>IFERROR(VLOOKUP(V619,TD!$N$34:$O$46,2,0)," ")</f>
        <v>N/A</v>
      </c>
      <c r="X619" s="249" t="str">
        <f>CONCATENATE(V619,"_",W619)</f>
        <v>N/A_N/A</v>
      </c>
      <c r="Y619" s="249" t="str">
        <f>CONCATENATE(U619," ",X619)</f>
        <v>N/A-N/A N/A_N/A</v>
      </c>
      <c r="Z619" s="248" t="str">
        <f>CONCATENATE(P619,Q619,R619,S619,V619)</f>
        <v>NANANAN/AN/A</v>
      </c>
      <c r="AA619" s="248" t="str">
        <f>IFERROR(VLOOKUP(Y619,TD!$K$47:$L$65,2,0)," ")</f>
        <v>N/A</v>
      </c>
      <c r="AB619" s="53" t="s">
        <v>348</v>
      </c>
      <c r="AC619" s="250" t="s">
        <v>205</v>
      </c>
    </row>
    <row r="620" spans="2:29" s="28" customFormat="1" ht="56" x14ac:dyDescent="0.35">
      <c r="B620" s="77">
        <v>20250694</v>
      </c>
      <c r="C620" s="50" t="s">
        <v>209</v>
      </c>
      <c r="D620" s="246" t="s">
        <v>167</v>
      </c>
      <c r="E620" s="51" t="s">
        <v>505</v>
      </c>
      <c r="F620" s="246" t="s">
        <v>697</v>
      </c>
      <c r="G620" s="246" t="s">
        <v>156</v>
      </c>
      <c r="H620" s="93">
        <v>80111600</v>
      </c>
      <c r="I620" s="247">
        <v>6</v>
      </c>
      <c r="J620" s="247">
        <v>8</v>
      </c>
      <c r="K620" s="52">
        <v>0</v>
      </c>
      <c r="L620" s="53">
        <v>30400000</v>
      </c>
      <c r="M620" s="246" t="s">
        <v>464</v>
      </c>
      <c r="N620" s="53" t="s">
        <v>113</v>
      </c>
      <c r="O620" s="51" t="s">
        <v>221</v>
      </c>
      <c r="P620" s="248" t="str">
        <f>IFERROR(VLOOKUP(C620,TD!$B$33:$F$37,2,0)," ")</f>
        <v>O230117</v>
      </c>
      <c r="Q620" s="248" t="str">
        <f>IFERROR(VLOOKUP(C620,TD!$B$33:$F$37,3,0)," ")</f>
        <v>4503</v>
      </c>
      <c r="R620" s="248">
        <f>IFERROR(VLOOKUP(C620,TD!$B$33:$F$37,4,0)," ")</f>
        <v>20240255</v>
      </c>
      <c r="S620" s="51" t="s">
        <v>177</v>
      </c>
      <c r="T620" s="248" t="str">
        <f>IFERROR(VLOOKUP(S620,TD!$J$34:$K$44,2,0)," ")</f>
        <v>Servicio de capacitaciones en gestión del riesgo de incendios  a la ciudadania.</v>
      </c>
      <c r="U620" s="249" t="str">
        <f>CONCATENATE(S620,"-",T620)</f>
        <v>05-Servicio de capacitaciones en gestión del riesgo de incendios  a la ciudadania.</v>
      </c>
      <c r="V620" s="51" t="s">
        <v>233</v>
      </c>
      <c r="W620" s="248" t="str">
        <f>IFERROR(VLOOKUP(V620,TD!$N$34:$O$46,2,0)," ")</f>
        <v>Servicio de educación informal</v>
      </c>
      <c r="X620" s="249" t="str">
        <f>CONCATENATE(V620,"_",W620)</f>
        <v>002_Servicio de educación informal</v>
      </c>
      <c r="Y620" s="249" t="str">
        <f>CONCATENATE(U620," ",X620)</f>
        <v>05-Servicio de capacitaciones en gestión del riesgo de incendios  a la ciudadania. 002_Servicio de educación informal</v>
      </c>
      <c r="Z620" s="248" t="str">
        <f>CONCATENATE(P620,Q620,R620,S620,V620)</f>
        <v>O23011745032024025505002</v>
      </c>
      <c r="AA620" s="248" t="str">
        <f>IFERROR(VLOOKUP(Y620,TD!$K$47:$L$65,2,0)," ")</f>
        <v>PM/0131/0105/45030020255</v>
      </c>
      <c r="AB620" s="53" t="s">
        <v>138</v>
      </c>
      <c r="AC620" s="250" t="s">
        <v>204</v>
      </c>
    </row>
    <row r="621" spans="2:29" s="28" customFormat="1" ht="84" x14ac:dyDescent="0.35">
      <c r="B621" s="127">
        <v>20250695</v>
      </c>
      <c r="C621" s="129" t="s">
        <v>209</v>
      </c>
      <c r="D621" s="251" t="s">
        <v>165</v>
      </c>
      <c r="E621" s="252" t="s">
        <v>484</v>
      </c>
      <c r="F621" s="251" t="s">
        <v>949</v>
      </c>
      <c r="G621" s="251" t="s">
        <v>155</v>
      </c>
      <c r="H621" s="130">
        <v>80111600</v>
      </c>
      <c r="I621" s="253">
        <v>5</v>
      </c>
      <c r="J621" s="253">
        <v>4</v>
      </c>
      <c r="K621" s="126">
        <v>0</v>
      </c>
      <c r="L621" s="125">
        <v>20644000</v>
      </c>
      <c r="M621" s="251" t="s">
        <v>464</v>
      </c>
      <c r="N621" s="125" t="s">
        <v>113</v>
      </c>
      <c r="O621" s="252" t="s">
        <v>229</v>
      </c>
      <c r="P621" s="254" t="str">
        <f>IFERROR(VLOOKUP(C621,TD!$B$33:$F$37,2,0)," ")</f>
        <v>O230117</v>
      </c>
      <c r="Q621" s="254" t="str">
        <f>IFERROR(VLOOKUP(C621,TD!$B$33:$F$37,3,0)," ")</f>
        <v>4503</v>
      </c>
      <c r="R621" s="254">
        <f>IFERROR(VLOOKUP(C621,TD!$B$33:$F$37,4,0)," ")</f>
        <v>20240255</v>
      </c>
      <c r="S621" s="252" t="s">
        <v>183</v>
      </c>
      <c r="T621" s="254" t="str">
        <f>IFERROR(VLOOKUP(S621,TD!$J$34:$K$44,2,0)," ")</f>
        <v>Servicio de formación en gestión del riesgo de incendios para el personal UAECOB</v>
      </c>
      <c r="U621" s="249" t="str">
        <f>CONCATENATE(S621,"-",T621)</f>
        <v>07-Servicio de formación en gestión del riesgo de incendios para el personal UAECOB</v>
      </c>
      <c r="V621" s="252" t="s">
        <v>233</v>
      </c>
      <c r="W621" s="254" t="str">
        <f>IFERROR(VLOOKUP(V621,TD!$N$34:$O$46,2,0)," ")</f>
        <v>Servicio de educación informal</v>
      </c>
      <c r="X621" s="249" t="str">
        <f>CONCATENATE(V621,"_",W621)</f>
        <v>002_Servicio de educación informal</v>
      </c>
      <c r="Y621" s="249" t="str">
        <f>CONCATENATE(U621," ",X621)</f>
        <v>07-Servicio de formación en gestión del riesgo de incendios para el personal UAECOB 002_Servicio de educación informal</v>
      </c>
      <c r="Z621" s="254" t="str">
        <f>CONCATENATE(P621,Q621,R621,S621,V621)</f>
        <v>O23011745032024025507002</v>
      </c>
      <c r="AA621" s="254" t="str">
        <f>IFERROR(VLOOKUP(Y621,TD!$K$47:$L$65,2,0)," ")</f>
        <v>PM/0131/0107/45030020255</v>
      </c>
      <c r="AB621" s="125" t="s">
        <v>138</v>
      </c>
      <c r="AC621" s="255" t="s">
        <v>204</v>
      </c>
    </row>
    <row r="622" spans="2:29" s="28" customFormat="1" ht="56" x14ac:dyDescent="0.35">
      <c r="B622" s="127">
        <v>20250696</v>
      </c>
      <c r="C622" s="129" t="s">
        <v>209</v>
      </c>
      <c r="D622" s="251" t="s">
        <v>165</v>
      </c>
      <c r="E622" s="252" t="s">
        <v>484</v>
      </c>
      <c r="F622" s="251" t="s">
        <v>949</v>
      </c>
      <c r="G622" s="251" t="s">
        <v>155</v>
      </c>
      <c r="H622" s="130">
        <v>80111600</v>
      </c>
      <c r="I622" s="253">
        <v>5</v>
      </c>
      <c r="J622" s="253">
        <v>4</v>
      </c>
      <c r="K622" s="126">
        <v>0</v>
      </c>
      <c r="L622" s="125">
        <v>20644000</v>
      </c>
      <c r="M622" s="251" t="s">
        <v>464</v>
      </c>
      <c r="N622" s="125" t="s">
        <v>113</v>
      </c>
      <c r="O622" s="252" t="s">
        <v>229</v>
      </c>
      <c r="P622" s="254" t="str">
        <f>IFERROR(VLOOKUP(C622,TD!$B$33:$F$37,2,0)," ")</f>
        <v>O230117</v>
      </c>
      <c r="Q622" s="254" t="str">
        <f>IFERROR(VLOOKUP(C622,TD!$B$33:$F$37,3,0)," ")</f>
        <v>4503</v>
      </c>
      <c r="R622" s="254">
        <f>IFERROR(VLOOKUP(C622,TD!$B$33:$F$37,4,0)," ")</f>
        <v>20240255</v>
      </c>
      <c r="S622" s="252" t="s">
        <v>183</v>
      </c>
      <c r="T622" s="254" t="str">
        <f>IFERROR(VLOOKUP(S622,TD!$J$34:$K$44,2,0)," ")</f>
        <v>Servicio de formación en gestión del riesgo de incendios para el personal UAECOB</v>
      </c>
      <c r="U622" s="249" t="str">
        <f>CONCATENATE(S622,"-",T622)</f>
        <v>07-Servicio de formación en gestión del riesgo de incendios para el personal UAECOB</v>
      </c>
      <c r="V622" s="252" t="s">
        <v>233</v>
      </c>
      <c r="W622" s="254" t="str">
        <f>IFERROR(VLOOKUP(V622,TD!$N$34:$O$46,2,0)," ")</f>
        <v>Servicio de educación informal</v>
      </c>
      <c r="X622" s="249" t="str">
        <f>CONCATENATE(V622,"_",W622)</f>
        <v>002_Servicio de educación informal</v>
      </c>
      <c r="Y622" s="249" t="str">
        <f>CONCATENATE(U622," ",X622)</f>
        <v>07-Servicio de formación en gestión del riesgo de incendios para el personal UAECOB 002_Servicio de educación informal</v>
      </c>
      <c r="Z622" s="254" t="str">
        <f>CONCATENATE(P622,Q622,R622,S622,V622)</f>
        <v>O23011745032024025507002</v>
      </c>
      <c r="AA622" s="254" t="str">
        <f>IFERROR(VLOOKUP(Y622,TD!$K$47:$L$65,2,0)," ")</f>
        <v>PM/0131/0107/45030020255</v>
      </c>
      <c r="AB622" s="125" t="s">
        <v>138</v>
      </c>
      <c r="AC622" s="255" t="s">
        <v>204</v>
      </c>
    </row>
    <row r="623" spans="2:29" s="28" customFormat="1" ht="70" x14ac:dyDescent="0.35">
      <c r="B623" s="127">
        <v>20250697</v>
      </c>
      <c r="C623" s="129" t="s">
        <v>209</v>
      </c>
      <c r="D623" s="251" t="s">
        <v>165</v>
      </c>
      <c r="E623" s="252" t="s">
        <v>484</v>
      </c>
      <c r="F623" s="251" t="s">
        <v>949</v>
      </c>
      <c r="G623" s="251" t="s">
        <v>155</v>
      </c>
      <c r="H623" s="130">
        <v>80111600</v>
      </c>
      <c r="I623" s="253">
        <v>5</v>
      </c>
      <c r="J623" s="253">
        <v>4</v>
      </c>
      <c r="K623" s="126">
        <v>0</v>
      </c>
      <c r="L623" s="125">
        <v>20644000</v>
      </c>
      <c r="M623" s="251" t="s">
        <v>464</v>
      </c>
      <c r="N623" s="125" t="s">
        <v>113</v>
      </c>
      <c r="O623" s="252" t="s">
        <v>229</v>
      </c>
      <c r="P623" s="254" t="str">
        <f>IFERROR(VLOOKUP(C623,TD!$B$33:$F$37,2,0)," ")</f>
        <v>O230117</v>
      </c>
      <c r="Q623" s="254" t="str">
        <f>IFERROR(VLOOKUP(C623,TD!$B$33:$F$37,3,0)," ")</f>
        <v>4503</v>
      </c>
      <c r="R623" s="254">
        <f>IFERROR(VLOOKUP(C623,TD!$B$33:$F$37,4,0)," ")</f>
        <v>20240255</v>
      </c>
      <c r="S623" s="252" t="s">
        <v>183</v>
      </c>
      <c r="T623" s="254" t="str">
        <f>IFERROR(VLOOKUP(S623,TD!$J$34:$K$44,2,0)," ")</f>
        <v>Servicio de formación en gestión del riesgo de incendios para el personal UAECOB</v>
      </c>
      <c r="U623" s="249" t="str">
        <f>CONCATENATE(S623,"-",T623)</f>
        <v>07-Servicio de formación en gestión del riesgo de incendios para el personal UAECOB</v>
      </c>
      <c r="V623" s="252" t="s">
        <v>233</v>
      </c>
      <c r="W623" s="254" t="str">
        <f>IFERROR(VLOOKUP(V623,TD!$N$34:$O$46,2,0)," ")</f>
        <v>Servicio de educación informal</v>
      </c>
      <c r="X623" s="249" t="str">
        <f>CONCATENATE(V623,"_",W623)</f>
        <v>002_Servicio de educación informal</v>
      </c>
      <c r="Y623" s="249" t="str">
        <f>CONCATENATE(U623," ",X623)</f>
        <v>07-Servicio de formación en gestión del riesgo de incendios para el personal UAECOB 002_Servicio de educación informal</v>
      </c>
      <c r="Z623" s="254" t="str">
        <f>CONCATENATE(P623,Q623,R623,S623,V623)</f>
        <v>O23011745032024025507002</v>
      </c>
      <c r="AA623" s="254" t="str">
        <f>IFERROR(VLOOKUP(Y623,TD!$K$47:$L$65,2,0)," ")</f>
        <v>PM/0131/0107/45030020255</v>
      </c>
      <c r="AB623" s="125" t="s">
        <v>138</v>
      </c>
      <c r="AC623" s="255" t="s">
        <v>204</v>
      </c>
    </row>
    <row r="624" spans="2:29" s="28" customFormat="1" ht="84" x14ac:dyDescent="0.35">
      <c r="B624" s="127">
        <v>20250698</v>
      </c>
      <c r="C624" s="129" t="s">
        <v>209</v>
      </c>
      <c r="D624" s="251" t="s">
        <v>165</v>
      </c>
      <c r="E624" s="252" t="s">
        <v>484</v>
      </c>
      <c r="F624" s="251" t="s">
        <v>951</v>
      </c>
      <c r="G624" s="251" t="s">
        <v>155</v>
      </c>
      <c r="H624" s="130">
        <v>80111600</v>
      </c>
      <c r="I624" s="253">
        <v>5</v>
      </c>
      <c r="J624" s="253">
        <v>3</v>
      </c>
      <c r="K624" s="126">
        <v>0</v>
      </c>
      <c r="L624" s="125">
        <v>15483000</v>
      </c>
      <c r="M624" s="251" t="s">
        <v>464</v>
      </c>
      <c r="N624" s="125" t="s">
        <v>113</v>
      </c>
      <c r="O624" s="252" t="s">
        <v>229</v>
      </c>
      <c r="P624" s="254" t="str">
        <f>IFERROR(VLOOKUP(C624,TD!$B$33:$F$37,2,0)," ")</f>
        <v>O230117</v>
      </c>
      <c r="Q624" s="254" t="str">
        <f>IFERROR(VLOOKUP(C624,TD!$B$33:$F$37,3,0)," ")</f>
        <v>4503</v>
      </c>
      <c r="R624" s="254">
        <f>IFERROR(VLOOKUP(C624,TD!$B$33:$F$37,4,0)," ")</f>
        <v>20240255</v>
      </c>
      <c r="S624" s="252" t="s">
        <v>183</v>
      </c>
      <c r="T624" s="254" t="str">
        <f>IFERROR(VLOOKUP(S624,TD!$J$34:$K$44,2,0)," ")</f>
        <v>Servicio de formación en gestión del riesgo de incendios para el personal UAECOB</v>
      </c>
      <c r="U624" s="249" t="str">
        <f>CONCATENATE(S624,"-",T624)</f>
        <v>07-Servicio de formación en gestión del riesgo de incendios para el personal UAECOB</v>
      </c>
      <c r="V624" s="252" t="s">
        <v>233</v>
      </c>
      <c r="W624" s="254" t="str">
        <f>IFERROR(VLOOKUP(V624,TD!$N$34:$O$46,2,0)," ")</f>
        <v>Servicio de educación informal</v>
      </c>
      <c r="X624" s="249" t="str">
        <f>CONCATENATE(V624,"_",W624)</f>
        <v>002_Servicio de educación informal</v>
      </c>
      <c r="Y624" s="249" t="str">
        <f>CONCATENATE(U624," ",X624)</f>
        <v>07-Servicio de formación en gestión del riesgo de incendios para el personal UAECOB 002_Servicio de educación informal</v>
      </c>
      <c r="Z624" s="254" t="str">
        <f>CONCATENATE(P624,Q624,R624,S624,V624)</f>
        <v>O23011745032024025507002</v>
      </c>
      <c r="AA624" s="254" t="str">
        <f>IFERROR(VLOOKUP(Y624,TD!$K$47:$L$65,2,0)," ")</f>
        <v>PM/0131/0107/45030020255</v>
      </c>
      <c r="AB624" s="125" t="s">
        <v>138</v>
      </c>
      <c r="AC624" s="255" t="s">
        <v>204</v>
      </c>
    </row>
    <row r="625" spans="2:29" s="28" customFormat="1" ht="84" x14ac:dyDescent="0.35">
      <c r="B625" s="127">
        <v>20250699</v>
      </c>
      <c r="C625" s="129" t="s">
        <v>209</v>
      </c>
      <c r="D625" s="251" t="s">
        <v>165</v>
      </c>
      <c r="E625" s="252" t="s">
        <v>484</v>
      </c>
      <c r="F625" s="251" t="s">
        <v>949</v>
      </c>
      <c r="G625" s="251" t="s">
        <v>155</v>
      </c>
      <c r="H625" s="130">
        <v>80111600</v>
      </c>
      <c r="I625" s="253">
        <v>5</v>
      </c>
      <c r="J625" s="253">
        <v>4</v>
      </c>
      <c r="K625" s="126">
        <v>0</v>
      </c>
      <c r="L625" s="125">
        <v>15483000</v>
      </c>
      <c r="M625" s="251" t="s">
        <v>464</v>
      </c>
      <c r="N625" s="125" t="s">
        <v>113</v>
      </c>
      <c r="O625" s="252" t="s">
        <v>229</v>
      </c>
      <c r="P625" s="254" t="str">
        <f>IFERROR(VLOOKUP(C625,TD!$B$33:$F$37,2,0)," ")</f>
        <v>O230117</v>
      </c>
      <c r="Q625" s="254" t="str">
        <f>IFERROR(VLOOKUP(C625,TD!$B$33:$F$37,3,0)," ")</f>
        <v>4503</v>
      </c>
      <c r="R625" s="254">
        <f>IFERROR(VLOOKUP(C625,TD!$B$33:$F$37,4,0)," ")</f>
        <v>20240255</v>
      </c>
      <c r="S625" s="252" t="s">
        <v>183</v>
      </c>
      <c r="T625" s="254" t="str">
        <f>IFERROR(VLOOKUP(S625,TD!$J$34:$K$44,2,0)," ")</f>
        <v>Servicio de formación en gestión del riesgo de incendios para el personal UAECOB</v>
      </c>
      <c r="U625" s="249" t="str">
        <f>CONCATENATE(S625,"-",T625)</f>
        <v>07-Servicio de formación en gestión del riesgo de incendios para el personal UAECOB</v>
      </c>
      <c r="V625" s="252" t="s">
        <v>233</v>
      </c>
      <c r="W625" s="254" t="str">
        <f>IFERROR(VLOOKUP(V625,TD!$N$34:$O$46,2,0)," ")</f>
        <v>Servicio de educación informal</v>
      </c>
      <c r="X625" s="249" t="str">
        <f>CONCATENATE(V625,"_",W625)</f>
        <v>002_Servicio de educación informal</v>
      </c>
      <c r="Y625" s="249" t="str">
        <f>CONCATENATE(U625," ",X625)</f>
        <v>07-Servicio de formación en gestión del riesgo de incendios para el personal UAECOB 002_Servicio de educación informal</v>
      </c>
      <c r="Z625" s="254" t="str">
        <f>CONCATENATE(P625,Q625,R625,S625,V625)</f>
        <v>O23011745032024025507002</v>
      </c>
      <c r="AA625" s="254" t="str">
        <f>IFERROR(VLOOKUP(Y625,TD!$K$47:$L$65,2,0)," ")</f>
        <v>PM/0131/0107/45030020255</v>
      </c>
      <c r="AB625" s="125" t="s">
        <v>138</v>
      </c>
      <c r="AC625" s="255" t="s">
        <v>204</v>
      </c>
    </row>
    <row r="626" spans="2:29" s="28" customFormat="1" ht="84" x14ac:dyDescent="0.35">
      <c r="B626" s="127">
        <v>20250700</v>
      </c>
      <c r="C626" s="129" t="s">
        <v>209</v>
      </c>
      <c r="D626" s="251" t="s">
        <v>165</v>
      </c>
      <c r="E626" s="252" t="s">
        <v>484</v>
      </c>
      <c r="F626" s="251" t="s">
        <v>950</v>
      </c>
      <c r="G626" s="251" t="s">
        <v>155</v>
      </c>
      <c r="H626" s="130">
        <v>80111600</v>
      </c>
      <c r="I626" s="253">
        <v>5</v>
      </c>
      <c r="J626" s="253">
        <v>3</v>
      </c>
      <c r="K626" s="126">
        <v>0</v>
      </c>
      <c r="L626" s="125">
        <v>15483000</v>
      </c>
      <c r="M626" s="251" t="s">
        <v>464</v>
      </c>
      <c r="N626" s="125" t="s">
        <v>113</v>
      </c>
      <c r="O626" s="252" t="s">
        <v>229</v>
      </c>
      <c r="P626" s="254" t="str">
        <f>IFERROR(VLOOKUP(C626,TD!$B$33:$F$37,2,0)," ")</f>
        <v>O230117</v>
      </c>
      <c r="Q626" s="254" t="str">
        <f>IFERROR(VLOOKUP(C626,TD!$B$33:$F$37,3,0)," ")</f>
        <v>4503</v>
      </c>
      <c r="R626" s="254">
        <f>IFERROR(VLOOKUP(C626,TD!$B$33:$F$37,4,0)," ")</f>
        <v>20240255</v>
      </c>
      <c r="S626" s="252" t="s">
        <v>183</v>
      </c>
      <c r="T626" s="254" t="str">
        <f>IFERROR(VLOOKUP(S626,TD!$J$34:$K$44,2,0)," ")</f>
        <v>Servicio de formación en gestión del riesgo de incendios para el personal UAECOB</v>
      </c>
      <c r="U626" s="249" t="str">
        <f>CONCATENATE(S626,"-",T626)</f>
        <v>07-Servicio de formación en gestión del riesgo de incendios para el personal UAECOB</v>
      </c>
      <c r="V626" s="252" t="s">
        <v>233</v>
      </c>
      <c r="W626" s="254" t="str">
        <f>IFERROR(VLOOKUP(V626,TD!$N$34:$O$46,2,0)," ")</f>
        <v>Servicio de educación informal</v>
      </c>
      <c r="X626" s="249" t="str">
        <f>CONCATENATE(V626,"_",W626)</f>
        <v>002_Servicio de educación informal</v>
      </c>
      <c r="Y626" s="249" t="str">
        <f>CONCATENATE(U626," ",X626)</f>
        <v>07-Servicio de formación en gestión del riesgo de incendios para el personal UAECOB 002_Servicio de educación informal</v>
      </c>
      <c r="Z626" s="254" t="str">
        <f>CONCATENATE(P626,Q626,R626,S626,V626)</f>
        <v>O23011745032024025507002</v>
      </c>
      <c r="AA626" s="254" t="str">
        <f>IFERROR(VLOOKUP(Y626,TD!$K$47:$L$65,2,0)," ")</f>
        <v>PM/0131/0107/45030020255</v>
      </c>
      <c r="AB626" s="125" t="s">
        <v>138</v>
      </c>
      <c r="AC626" s="255" t="s">
        <v>204</v>
      </c>
    </row>
    <row r="627" spans="2:29" s="28" customFormat="1" ht="56" x14ac:dyDescent="0.35">
      <c r="B627" s="77">
        <v>20250702</v>
      </c>
      <c r="C627" s="50" t="s">
        <v>209</v>
      </c>
      <c r="D627" s="246" t="s">
        <v>168</v>
      </c>
      <c r="E627" s="51" t="s">
        <v>600</v>
      </c>
      <c r="F627" s="246" t="s">
        <v>894</v>
      </c>
      <c r="G627" s="246" t="s">
        <v>146</v>
      </c>
      <c r="H627" s="93">
        <v>78181500</v>
      </c>
      <c r="I627" s="247">
        <v>8</v>
      </c>
      <c r="J627" s="247">
        <v>12</v>
      </c>
      <c r="K627" s="52">
        <v>0</v>
      </c>
      <c r="L627" s="53">
        <v>200000000</v>
      </c>
      <c r="M627" s="246" t="s">
        <v>464</v>
      </c>
      <c r="N627" s="53" t="s">
        <v>85</v>
      </c>
      <c r="O627" s="51" t="s">
        <v>224</v>
      </c>
      <c r="P627" s="248" t="str">
        <f>IFERROR(VLOOKUP(C627,TD!$B$33:$F$37,2,0)," ")</f>
        <v>O230117</v>
      </c>
      <c r="Q627" s="248" t="str">
        <f>IFERROR(VLOOKUP(C627,TD!$B$33:$F$37,3,0)," ")</f>
        <v>4503</v>
      </c>
      <c r="R627" s="248">
        <f>IFERROR(VLOOKUP(C627,TD!$B$33:$F$37,4,0)," ")</f>
        <v>20240255</v>
      </c>
      <c r="S627" s="51" t="s">
        <v>187</v>
      </c>
      <c r="T627" s="248" t="str">
        <f>IFERROR(VLOOKUP(S627,TD!$J$34:$K$44,2,0)," ")</f>
        <v>Servicio de mantenimiento, dotación (HEA´s y equipo menor) y adquisición de vehiculos   especializados para la atención de emergencias.</v>
      </c>
      <c r="U627" s="249" t="str">
        <f>CONCATENATE(S627,"-",T627)</f>
        <v>09-Servicio de mantenimiento, dotación (HEA´s y equipo menor) y adquisición de vehiculos   especializados para la atención de emergencias.</v>
      </c>
      <c r="V627" s="51" t="s">
        <v>232</v>
      </c>
      <c r="W627" s="248" t="str">
        <f>IFERROR(VLOOKUP(V627,TD!$N$34:$O$46,2,0)," ")</f>
        <v>Servicio de atención a emergencias y desastres</v>
      </c>
      <c r="X627" s="249" t="str">
        <f>CONCATENATE(V627,"_",W627)</f>
        <v>004_Servicio de atención a emergencias y desastres</v>
      </c>
      <c r="Y627" s="249" t="str">
        <f>CONCATENATE(U627," ",X627)</f>
        <v>09-Servicio de mantenimiento, dotación (HEA´s y equipo menor) y adquisición de vehiculos   especializados para la atención de emergencias. 004_Servicio de atención a emergencias y desastres</v>
      </c>
      <c r="Z627" s="248" t="str">
        <f>CONCATENATE(P627,Q627,R627,S627,V627)</f>
        <v>O23011745032024025509004</v>
      </c>
      <c r="AA627" s="248" t="str">
        <f>IFERROR(VLOOKUP(Y627,TD!$K$47:$L$65,2,0)," ")</f>
        <v>PM/0131/0109/45030040255</v>
      </c>
      <c r="AB627" s="53" t="s">
        <v>145</v>
      </c>
      <c r="AC627" s="250" t="s">
        <v>205</v>
      </c>
    </row>
    <row r="628" spans="2:29" s="28" customFormat="1" ht="70" x14ac:dyDescent="0.35">
      <c r="B628" s="77">
        <v>20250703</v>
      </c>
      <c r="C628" s="50" t="s">
        <v>209</v>
      </c>
      <c r="D628" s="246" t="s">
        <v>168</v>
      </c>
      <c r="E628" s="51" t="s">
        <v>600</v>
      </c>
      <c r="F628" s="246" t="s">
        <v>895</v>
      </c>
      <c r="G628" s="246" t="s">
        <v>119</v>
      </c>
      <c r="H628" s="93" t="s">
        <v>424</v>
      </c>
      <c r="I628" s="247">
        <v>4</v>
      </c>
      <c r="J628" s="247">
        <v>12</v>
      </c>
      <c r="K628" s="52">
        <v>0</v>
      </c>
      <c r="L628" s="53">
        <v>15000000</v>
      </c>
      <c r="M628" s="246" t="s">
        <v>464</v>
      </c>
      <c r="N628" s="53" t="s">
        <v>95</v>
      </c>
      <c r="O628" s="51" t="s">
        <v>224</v>
      </c>
      <c r="P628" s="248" t="str">
        <f>IFERROR(VLOOKUP(C628,TD!$B$33:$F$37,2,0)," ")</f>
        <v>O230117</v>
      </c>
      <c r="Q628" s="248" t="str">
        <f>IFERROR(VLOOKUP(C628,TD!$B$33:$F$37,3,0)," ")</f>
        <v>4503</v>
      </c>
      <c r="R628" s="248">
        <f>IFERROR(VLOOKUP(C628,TD!$B$33:$F$37,4,0)," ")</f>
        <v>20240255</v>
      </c>
      <c r="S628" s="51" t="s">
        <v>191</v>
      </c>
      <c r="T628" s="248" t="str">
        <f>IFERROR(VLOOKUP(S628,TD!$J$34:$K$44,2,0)," ")</f>
        <v>Servicio de apoyo   logístico  en eventos operativos y/o emergencias.</v>
      </c>
      <c r="U628" s="249" t="str">
        <f>CONCATENATE(S628,"-",T628)</f>
        <v>12-Servicio de apoyo   logístico  en eventos operativos y/o emergencias.</v>
      </c>
      <c r="V628" s="51" t="s">
        <v>232</v>
      </c>
      <c r="W628" s="248" t="str">
        <f>IFERROR(VLOOKUP(V628,TD!$N$34:$O$46,2,0)," ")</f>
        <v>Servicio de atención a emergencias y desastres</v>
      </c>
      <c r="X628" s="249" t="str">
        <f>CONCATENATE(V628,"_",W628)</f>
        <v>004_Servicio de atención a emergencias y desastres</v>
      </c>
      <c r="Y628" s="249" t="str">
        <f>CONCATENATE(U628," ",X628)</f>
        <v>12-Servicio de apoyo   logístico  en eventos operativos y/o emergencias. 004_Servicio de atención a emergencias y desastres</v>
      </c>
      <c r="Z628" s="248" t="str">
        <f>CONCATENATE(P628,Q628,R628,S628,V628)</f>
        <v>O23011745032024025512004</v>
      </c>
      <c r="AA628" s="248" t="str">
        <f>IFERROR(VLOOKUP(Y628,TD!$K$47:$L$65,2,0)," ")</f>
        <v>PM/0131/0112/45030040255</v>
      </c>
      <c r="AB628" s="53" t="s">
        <v>134</v>
      </c>
      <c r="AC628" s="250" t="s">
        <v>205</v>
      </c>
    </row>
    <row r="629" spans="2:29" s="28" customFormat="1" ht="56" x14ac:dyDescent="0.35">
      <c r="B629" s="77">
        <v>20250705</v>
      </c>
      <c r="C629" s="50" t="s">
        <v>208</v>
      </c>
      <c r="D629" s="246" t="s">
        <v>36</v>
      </c>
      <c r="E629" s="51" t="s">
        <v>378</v>
      </c>
      <c r="F629" s="246" t="s">
        <v>901</v>
      </c>
      <c r="G629" s="246" t="s">
        <v>155</v>
      </c>
      <c r="H629" s="93">
        <v>80111600</v>
      </c>
      <c r="I629" s="247">
        <v>0</v>
      </c>
      <c r="J629" s="247">
        <v>0</v>
      </c>
      <c r="K629" s="52">
        <v>0</v>
      </c>
      <c r="L629" s="53">
        <v>333333</v>
      </c>
      <c r="M629" s="246" t="s">
        <v>173</v>
      </c>
      <c r="N629" s="53" t="s">
        <v>128</v>
      </c>
      <c r="O629" s="51" t="s">
        <v>211</v>
      </c>
      <c r="P629" s="248" t="str">
        <f>IFERROR(VLOOKUP(C629,TD!$B$33:$F$37,2,0)," ")</f>
        <v>O230117</v>
      </c>
      <c r="Q629" s="248" t="str">
        <f>IFERROR(VLOOKUP(C629,TD!$B$33:$F$37,3,0)," ")</f>
        <v>4599</v>
      </c>
      <c r="R629" s="248">
        <f>IFERROR(VLOOKUP(C629,TD!$B$33:$F$37,4,0)," ")</f>
        <v>20240207</v>
      </c>
      <c r="S629" s="51" t="s">
        <v>193</v>
      </c>
      <c r="T629" s="248" t="str">
        <f>IFERROR(VLOOKUP(S629,TD!$J$34:$K$44,2,0)," ")</f>
        <v>Servicios para la planeación y sistemas de gestión y comunicación estratégica</v>
      </c>
      <c r="U629" s="249" t="str">
        <f>CONCATENATE(S629,"-",T629)</f>
        <v>13-Servicios para la planeación y sistemas de gestión y comunicación estratégica</v>
      </c>
      <c r="V629" s="51" t="s">
        <v>241</v>
      </c>
      <c r="W629" s="248" t="str">
        <f>IFERROR(VLOOKUP(V629,TD!$N$34:$O$46,2,0)," ")</f>
        <v>Servicio de Implementación Sistemas de Gestión</v>
      </c>
      <c r="X629" s="249" t="str">
        <f>CONCATENATE(V629,"_",W629)</f>
        <v>023_Servicio de Implementación Sistemas de Gestión</v>
      </c>
      <c r="Y629" s="249" t="str">
        <f>CONCATENATE(U629," ",X629)</f>
        <v>13-Servicios para la planeación y sistemas de gestión y comunicación estratégica 023_Servicio de Implementación Sistemas de Gestión</v>
      </c>
      <c r="Z629" s="248" t="str">
        <f>CONCATENATE(P629,Q629,R629,S629,V629)</f>
        <v>O23011745992024020713023</v>
      </c>
      <c r="AA629" s="248" t="str">
        <f>IFERROR(VLOOKUP(Y629,TD!$K$47:$L$65,2,0)," ")</f>
        <v>PM/0131/0113/45990230207</v>
      </c>
      <c r="AB629" s="53" t="s">
        <v>138</v>
      </c>
      <c r="AC629" s="250" t="s">
        <v>205</v>
      </c>
    </row>
    <row r="630" spans="2:29" s="28" customFormat="1" ht="98" x14ac:dyDescent="0.35">
      <c r="B630" s="77">
        <v>20250706</v>
      </c>
      <c r="C630" s="50" t="s">
        <v>208</v>
      </c>
      <c r="D630" s="246" t="s">
        <v>36</v>
      </c>
      <c r="E630" s="51" t="s">
        <v>378</v>
      </c>
      <c r="F630" s="246" t="s">
        <v>898</v>
      </c>
      <c r="G630" s="246" t="s">
        <v>155</v>
      </c>
      <c r="H630" s="93">
        <v>80111600</v>
      </c>
      <c r="I630" s="247">
        <v>0</v>
      </c>
      <c r="J630" s="247">
        <v>0</v>
      </c>
      <c r="K630" s="52">
        <v>0</v>
      </c>
      <c r="L630" s="53">
        <v>2100000</v>
      </c>
      <c r="M630" s="246" t="s">
        <v>173</v>
      </c>
      <c r="N630" s="53" t="s">
        <v>128</v>
      </c>
      <c r="O630" s="51" t="s">
        <v>211</v>
      </c>
      <c r="P630" s="248" t="str">
        <f>IFERROR(VLOOKUP(C630,TD!$B$33:$F$37,2,0)," ")</f>
        <v>O230117</v>
      </c>
      <c r="Q630" s="248" t="str">
        <f>IFERROR(VLOOKUP(C630,TD!$B$33:$F$37,3,0)," ")</f>
        <v>4599</v>
      </c>
      <c r="R630" s="248">
        <f>IFERROR(VLOOKUP(C630,TD!$B$33:$F$37,4,0)," ")</f>
        <v>20240207</v>
      </c>
      <c r="S630" s="51" t="s">
        <v>193</v>
      </c>
      <c r="T630" s="248" t="str">
        <f>IFERROR(VLOOKUP(S630,TD!$J$34:$K$44,2,0)," ")</f>
        <v>Servicios para la planeación y sistemas de gestión y comunicación estratégica</v>
      </c>
      <c r="U630" s="249" t="str">
        <f>CONCATENATE(S630,"-",T630)</f>
        <v>13-Servicios para la planeación y sistemas de gestión y comunicación estratégica</v>
      </c>
      <c r="V630" s="51" t="s">
        <v>241</v>
      </c>
      <c r="W630" s="248" t="str">
        <f>IFERROR(VLOOKUP(V630,TD!$N$34:$O$46,2,0)," ")</f>
        <v>Servicio de Implementación Sistemas de Gestión</v>
      </c>
      <c r="X630" s="249" t="str">
        <f>CONCATENATE(V630,"_",W630)</f>
        <v>023_Servicio de Implementación Sistemas de Gestión</v>
      </c>
      <c r="Y630" s="249" t="str">
        <f>CONCATENATE(U630," ",X630)</f>
        <v>13-Servicios para la planeación y sistemas de gestión y comunicación estratégica 023_Servicio de Implementación Sistemas de Gestión</v>
      </c>
      <c r="Z630" s="248" t="str">
        <f>CONCATENATE(P630,Q630,R630,S630,V630)</f>
        <v>O23011745992024020713023</v>
      </c>
      <c r="AA630" s="248" t="str">
        <f>IFERROR(VLOOKUP(Y630,TD!$K$47:$L$65,2,0)," ")</f>
        <v>PM/0131/0113/45990230207</v>
      </c>
      <c r="AB630" s="53" t="s">
        <v>138</v>
      </c>
      <c r="AC630" s="250" t="s">
        <v>205</v>
      </c>
    </row>
    <row r="631" spans="2:29" s="28" customFormat="1" ht="98" x14ac:dyDescent="0.35">
      <c r="B631" s="77">
        <v>20250708</v>
      </c>
      <c r="C631" s="50" t="s">
        <v>208</v>
      </c>
      <c r="D631" s="246" t="s">
        <v>36</v>
      </c>
      <c r="E631" s="51" t="s">
        <v>378</v>
      </c>
      <c r="F631" s="246" t="s">
        <v>899</v>
      </c>
      <c r="G631" s="246" t="s">
        <v>155</v>
      </c>
      <c r="H631" s="93">
        <v>80111600</v>
      </c>
      <c r="I631" s="247">
        <v>0</v>
      </c>
      <c r="J631" s="247">
        <v>0</v>
      </c>
      <c r="K631" s="52">
        <v>0</v>
      </c>
      <c r="L631" s="53">
        <v>800000</v>
      </c>
      <c r="M631" s="246" t="s">
        <v>173</v>
      </c>
      <c r="N631" s="53" t="s">
        <v>128</v>
      </c>
      <c r="O631" s="51" t="s">
        <v>211</v>
      </c>
      <c r="P631" s="248" t="str">
        <f>IFERROR(VLOOKUP(C631,TD!$B$33:$F$37,2,0)," ")</f>
        <v>O230117</v>
      </c>
      <c r="Q631" s="248" t="str">
        <f>IFERROR(VLOOKUP(C631,TD!$B$33:$F$37,3,0)," ")</f>
        <v>4599</v>
      </c>
      <c r="R631" s="248">
        <f>IFERROR(VLOOKUP(C631,TD!$B$33:$F$37,4,0)," ")</f>
        <v>20240207</v>
      </c>
      <c r="S631" s="51" t="s">
        <v>193</v>
      </c>
      <c r="T631" s="248" t="str">
        <f>IFERROR(VLOOKUP(S631,TD!$J$34:$K$44,2,0)," ")</f>
        <v>Servicios para la planeación y sistemas de gestión y comunicación estratégica</v>
      </c>
      <c r="U631" s="249" t="str">
        <f>CONCATENATE(S631,"-",T631)</f>
        <v>13-Servicios para la planeación y sistemas de gestión y comunicación estratégica</v>
      </c>
      <c r="V631" s="51" t="s">
        <v>241</v>
      </c>
      <c r="W631" s="248" t="str">
        <f>IFERROR(VLOOKUP(V631,TD!$N$34:$O$46,2,0)," ")</f>
        <v>Servicio de Implementación Sistemas de Gestión</v>
      </c>
      <c r="X631" s="249" t="str">
        <f>CONCATENATE(V631,"_",W631)</f>
        <v>023_Servicio de Implementación Sistemas de Gestión</v>
      </c>
      <c r="Y631" s="249" t="str">
        <f>CONCATENATE(U631," ",X631)</f>
        <v>13-Servicios para la planeación y sistemas de gestión y comunicación estratégica 023_Servicio de Implementación Sistemas de Gestión</v>
      </c>
      <c r="Z631" s="248" t="str">
        <f>CONCATENATE(P631,Q631,R631,S631,V631)</f>
        <v>O23011745992024020713023</v>
      </c>
      <c r="AA631" s="248" t="str">
        <f>IFERROR(VLOOKUP(Y631,TD!$K$47:$L$65,2,0)," ")</f>
        <v>PM/0131/0113/45990230207</v>
      </c>
      <c r="AB631" s="53" t="s">
        <v>138</v>
      </c>
      <c r="AC631" s="250" t="s">
        <v>205</v>
      </c>
    </row>
    <row r="632" spans="2:29" s="28" customFormat="1" ht="98" x14ac:dyDescent="0.35">
      <c r="B632" s="77">
        <v>20250709</v>
      </c>
      <c r="C632" s="50" t="s">
        <v>208</v>
      </c>
      <c r="D632" s="246" t="s">
        <v>36</v>
      </c>
      <c r="E632" s="51" t="s">
        <v>378</v>
      </c>
      <c r="F632" s="246" t="s">
        <v>900</v>
      </c>
      <c r="G632" s="246" t="s">
        <v>156</v>
      </c>
      <c r="H632" s="93">
        <v>80111600</v>
      </c>
      <c r="I632" s="247">
        <v>5</v>
      </c>
      <c r="J632" s="247">
        <v>7</v>
      </c>
      <c r="K632" s="52">
        <v>0</v>
      </c>
      <c r="L632" s="53">
        <v>31435712</v>
      </c>
      <c r="M632" s="246" t="s">
        <v>464</v>
      </c>
      <c r="N632" s="53" t="s">
        <v>113</v>
      </c>
      <c r="O632" s="51" t="s">
        <v>211</v>
      </c>
      <c r="P632" s="248" t="str">
        <f>IFERROR(VLOOKUP(C632,TD!$B$33:$F$37,2,0)," ")</f>
        <v>O230117</v>
      </c>
      <c r="Q632" s="248" t="str">
        <f>IFERROR(VLOOKUP(C632,TD!$B$33:$F$37,3,0)," ")</f>
        <v>4599</v>
      </c>
      <c r="R632" s="248">
        <f>IFERROR(VLOOKUP(C632,TD!$B$33:$F$37,4,0)," ")</f>
        <v>20240207</v>
      </c>
      <c r="S632" s="51" t="s">
        <v>193</v>
      </c>
      <c r="T632" s="248" t="str">
        <f>IFERROR(VLOOKUP(S632,TD!$J$34:$K$44,2,0)," ")</f>
        <v>Servicios para la planeación y sistemas de gestión y comunicación estratégica</v>
      </c>
      <c r="U632" s="249" t="str">
        <f>CONCATENATE(S632,"-",T632)</f>
        <v>13-Servicios para la planeación y sistemas de gestión y comunicación estratégica</v>
      </c>
      <c r="V632" s="51" t="s">
        <v>241</v>
      </c>
      <c r="W632" s="248" t="str">
        <f>IFERROR(VLOOKUP(V632,TD!$N$34:$O$46,2,0)," ")</f>
        <v>Servicio de Implementación Sistemas de Gestión</v>
      </c>
      <c r="X632" s="249" t="str">
        <f>CONCATENATE(V632,"_",W632)</f>
        <v>023_Servicio de Implementación Sistemas de Gestión</v>
      </c>
      <c r="Y632" s="249" t="str">
        <f>CONCATENATE(U632," ",X632)</f>
        <v>13-Servicios para la planeación y sistemas de gestión y comunicación estratégica 023_Servicio de Implementación Sistemas de Gestión</v>
      </c>
      <c r="Z632" s="248" t="str">
        <f>CONCATENATE(P632,Q632,R632,S632,V632)</f>
        <v>O23011745992024020713023</v>
      </c>
      <c r="AA632" s="248" t="str">
        <f>IFERROR(VLOOKUP(Y632,TD!$K$47:$L$65,2,0)," ")</f>
        <v>PM/0131/0113/45990230207</v>
      </c>
      <c r="AB632" s="53" t="s">
        <v>138</v>
      </c>
      <c r="AC632" s="250" t="s">
        <v>204</v>
      </c>
    </row>
    <row r="633" spans="2:29" s="28" customFormat="1" ht="84" x14ac:dyDescent="0.35">
      <c r="B633" s="77">
        <v>20250710</v>
      </c>
      <c r="C633" s="50" t="s">
        <v>208</v>
      </c>
      <c r="D633" s="246" t="s">
        <v>164</v>
      </c>
      <c r="E633" s="51" t="s">
        <v>389</v>
      </c>
      <c r="F633" s="246" t="s">
        <v>902</v>
      </c>
      <c r="G633" s="246" t="s">
        <v>155</v>
      </c>
      <c r="H633" s="93">
        <v>80111600</v>
      </c>
      <c r="I633" s="247">
        <v>6</v>
      </c>
      <c r="J633" s="247">
        <v>2</v>
      </c>
      <c r="K633" s="52">
        <v>0</v>
      </c>
      <c r="L633" s="53">
        <v>21000000</v>
      </c>
      <c r="M633" s="246" t="s">
        <v>464</v>
      </c>
      <c r="N633" s="53" t="s">
        <v>113</v>
      </c>
      <c r="O633" s="51" t="s">
        <v>219</v>
      </c>
      <c r="P633" s="248" t="str">
        <f>IFERROR(VLOOKUP(C633,TD!$B$33:$F$37,2,0)," ")</f>
        <v>O230117</v>
      </c>
      <c r="Q633" s="248" t="str">
        <f>IFERROR(VLOOKUP(C633,TD!$B$33:$F$37,3,0)," ")</f>
        <v>4599</v>
      </c>
      <c r="R633" s="248">
        <f>IFERROR(VLOOKUP(C633,TD!$B$33:$F$37,4,0)," ")</f>
        <v>20240207</v>
      </c>
      <c r="S633" s="51" t="s">
        <v>185</v>
      </c>
      <c r="T633" s="248" t="str">
        <f>IFERROR(VLOOKUP(S633,TD!$J$34:$K$44,2,0)," ")</f>
        <v>Infraestructura física, mantenimiento y dotación (Sedes construidas, mantenidas reforzadas)</v>
      </c>
      <c r="U633" s="249" t="str">
        <f>CONCATENATE(S633,"-",T633)</f>
        <v>08-Infraestructura física, mantenimiento y dotación (Sedes construidas, mantenidas reforzadas)</v>
      </c>
      <c r="V633" s="51" t="s">
        <v>238</v>
      </c>
      <c r="W633" s="248" t="str">
        <f>IFERROR(VLOOKUP(V633,TD!$N$34:$O$46,2,0)," ")</f>
        <v>Sedes mantenidas</v>
      </c>
      <c r="X633" s="249" t="str">
        <f>CONCATENATE(V633,"_",W633)</f>
        <v>016_Sedes mantenidas</v>
      </c>
      <c r="Y633" s="249" t="str">
        <f>CONCATENATE(U633," ",X633)</f>
        <v>08-Infraestructura física, mantenimiento y dotación (Sedes construidas, mantenidas reforzadas) 016_Sedes mantenidas</v>
      </c>
      <c r="Z633" s="248" t="str">
        <f>CONCATENATE(P633,Q633,R633,S633,V633)</f>
        <v>O23011745992024020708016</v>
      </c>
      <c r="AA633" s="248" t="str">
        <f>IFERROR(VLOOKUP(Y633,TD!$K$47:$L$65,2,0)," ")</f>
        <v>PM/0131/0108/45990160207</v>
      </c>
      <c r="AB633" s="53" t="s">
        <v>120</v>
      </c>
      <c r="AC633" s="250" t="s">
        <v>204</v>
      </c>
    </row>
    <row r="634" spans="2:29" s="28" customFormat="1" ht="112" x14ac:dyDescent="0.35">
      <c r="B634" s="77">
        <v>20250712</v>
      </c>
      <c r="C634" s="50" t="s">
        <v>208</v>
      </c>
      <c r="D634" s="246" t="s">
        <v>162</v>
      </c>
      <c r="E634" s="51" t="s">
        <v>355</v>
      </c>
      <c r="F634" s="246" t="s">
        <v>903</v>
      </c>
      <c r="G634" s="246" t="s">
        <v>124</v>
      </c>
      <c r="H634" s="93" t="s">
        <v>904</v>
      </c>
      <c r="I634" s="247">
        <v>6</v>
      </c>
      <c r="J634" s="247">
        <v>12</v>
      </c>
      <c r="K634" s="52">
        <v>0</v>
      </c>
      <c r="L634" s="53">
        <v>650000000</v>
      </c>
      <c r="M634" s="246" t="s">
        <v>464</v>
      </c>
      <c r="N634" s="53" t="s">
        <v>113</v>
      </c>
      <c r="O634" s="51" t="s">
        <v>214</v>
      </c>
      <c r="P634" s="248" t="str">
        <f>IFERROR(VLOOKUP(C634,TD!$B$33:$F$37,2,0)," ")</f>
        <v>O230117</v>
      </c>
      <c r="Q634" s="248" t="str">
        <f>IFERROR(VLOOKUP(C634,TD!$B$33:$F$37,3,0)," ")</f>
        <v>4599</v>
      </c>
      <c r="R634" s="248">
        <f>IFERROR(VLOOKUP(C634,TD!$B$33:$F$37,4,0)," ")</f>
        <v>20240207</v>
      </c>
      <c r="S634" s="51" t="s">
        <v>179</v>
      </c>
      <c r="T634" s="248" t="str">
        <f>IFERROR(VLOOKUP(S634,TD!$J$34:$K$44,2,0)," ")</f>
        <v>Infraestructura Tecnológica   (Sistemas de Información y Tecnologia)</v>
      </c>
      <c r="U634" s="249" t="str">
        <f>CONCATENATE(S634,"-",T634)</f>
        <v>11-Infraestructura Tecnológica   (Sistemas de Información y Tecnologia)</v>
      </c>
      <c r="V634" s="51" t="s">
        <v>239</v>
      </c>
      <c r="W634" s="248" t="str">
        <f>IFERROR(VLOOKUP(V634,TD!$N$34:$O$46,2,0)," ")</f>
        <v>Servicios tecnológicos</v>
      </c>
      <c r="X634" s="249" t="str">
        <f>CONCATENATE(V634,"_",W634)</f>
        <v>007_Servicios tecnológicos</v>
      </c>
      <c r="Y634" s="249" t="str">
        <f>CONCATENATE(U634," ",X634)</f>
        <v>11-Infraestructura Tecnológica   (Sistemas de Información y Tecnologia) 007_Servicios tecnológicos</v>
      </c>
      <c r="Z634" s="248" t="str">
        <f>CONCATENATE(P634,Q634,R634,S634,V634)</f>
        <v>O23011745992024020711007</v>
      </c>
      <c r="AA634" s="248" t="str">
        <f>IFERROR(VLOOKUP(Y634,TD!$K$47:$L$65,2,0)," ")</f>
        <v>PM/0131/0111/45990070207</v>
      </c>
      <c r="AB634" s="53" t="s">
        <v>125</v>
      </c>
      <c r="AC634" s="250" t="s">
        <v>204</v>
      </c>
    </row>
    <row r="635" spans="2:29" s="28" customFormat="1" ht="98" x14ac:dyDescent="0.35">
      <c r="B635" s="77">
        <v>20250713</v>
      </c>
      <c r="C635" s="50" t="s">
        <v>209</v>
      </c>
      <c r="D635" s="246" t="s">
        <v>168</v>
      </c>
      <c r="E635" s="51" t="s">
        <v>600</v>
      </c>
      <c r="F635" s="246" t="s">
        <v>906</v>
      </c>
      <c r="G635" s="246" t="s">
        <v>119</v>
      </c>
      <c r="H635" s="93" t="s">
        <v>896</v>
      </c>
      <c r="I635" s="247">
        <v>5</v>
      </c>
      <c r="J635" s="247">
        <v>2</v>
      </c>
      <c r="K635" s="52">
        <v>0</v>
      </c>
      <c r="L635" s="53">
        <v>5000000</v>
      </c>
      <c r="M635" s="246" t="s">
        <v>464</v>
      </c>
      <c r="N635" s="53" t="s">
        <v>100</v>
      </c>
      <c r="O635" s="51" t="s">
        <v>224</v>
      </c>
      <c r="P635" s="248" t="str">
        <f>IFERROR(VLOOKUP(C635,TD!$B$33:$F$37,2,0)," ")</f>
        <v>O230117</v>
      </c>
      <c r="Q635" s="248" t="str">
        <f>IFERROR(VLOOKUP(C635,TD!$B$33:$F$37,3,0)," ")</f>
        <v>4503</v>
      </c>
      <c r="R635" s="248">
        <f>IFERROR(VLOOKUP(C635,TD!$B$33:$F$37,4,0)," ")</f>
        <v>20240255</v>
      </c>
      <c r="S635" s="51" t="s">
        <v>191</v>
      </c>
      <c r="T635" s="248" t="str">
        <f>IFERROR(VLOOKUP(S635,TD!$J$34:$K$44,2,0)," ")</f>
        <v>Servicio de apoyo   logístico  en eventos operativos y/o emergencias.</v>
      </c>
      <c r="U635" s="249" t="str">
        <f>CONCATENATE(S635,"-",T635)</f>
        <v>12-Servicio de apoyo   logístico  en eventos operativos y/o emergencias.</v>
      </c>
      <c r="V635" s="51" t="s">
        <v>232</v>
      </c>
      <c r="W635" s="248" t="str">
        <f>IFERROR(VLOOKUP(V635,TD!$N$34:$O$46,2,0)," ")</f>
        <v>Servicio de atención a emergencias y desastres</v>
      </c>
      <c r="X635" s="249" t="str">
        <f>CONCATENATE(V635,"_",W635)</f>
        <v>004_Servicio de atención a emergencias y desastres</v>
      </c>
      <c r="Y635" s="249" t="str">
        <f>CONCATENATE(U635," ",X635)</f>
        <v>12-Servicio de apoyo   logístico  en eventos operativos y/o emergencias. 004_Servicio de atención a emergencias y desastres</v>
      </c>
      <c r="Z635" s="248" t="str">
        <f>CONCATENATE(P635,Q635,R635,S635,V635)</f>
        <v>O23011745032024025512004</v>
      </c>
      <c r="AA635" s="248" t="str">
        <f>IFERROR(VLOOKUP(Y635,TD!$K$47:$L$65,2,0)," ")</f>
        <v>PM/0131/0112/45030040255</v>
      </c>
      <c r="AB635" s="53" t="s">
        <v>87</v>
      </c>
      <c r="AC635" s="250" t="s">
        <v>204</v>
      </c>
    </row>
    <row r="636" spans="2:29" s="28" customFormat="1" ht="126" x14ac:dyDescent="0.35">
      <c r="B636" s="77">
        <v>20250714</v>
      </c>
      <c r="C636" s="50" t="s">
        <v>208</v>
      </c>
      <c r="D636" s="246" t="s">
        <v>166</v>
      </c>
      <c r="E636" s="51" t="s">
        <v>558</v>
      </c>
      <c r="F636" s="246" t="s">
        <v>910</v>
      </c>
      <c r="G636" s="246" t="s">
        <v>137</v>
      </c>
      <c r="H636" s="93" t="s">
        <v>406</v>
      </c>
      <c r="I636" s="247" t="s">
        <v>406</v>
      </c>
      <c r="J636" s="247" t="s">
        <v>406</v>
      </c>
      <c r="K636" s="52" t="s">
        <v>406</v>
      </c>
      <c r="L636" s="53">
        <v>513333</v>
      </c>
      <c r="M636" s="246" t="s">
        <v>173</v>
      </c>
      <c r="N636" s="53" t="s">
        <v>128</v>
      </c>
      <c r="O636" s="51" t="s">
        <v>219</v>
      </c>
      <c r="P636" s="248" t="str">
        <f>IFERROR(VLOOKUP(C636,TD!$B$33:$F$37,2,0)," ")</f>
        <v>O230117</v>
      </c>
      <c r="Q636" s="248" t="str">
        <f>IFERROR(VLOOKUP(C636,TD!$B$33:$F$37,3,0)," ")</f>
        <v>4599</v>
      </c>
      <c r="R636" s="248">
        <f>IFERROR(VLOOKUP(C636,TD!$B$33:$F$37,4,0)," ")</f>
        <v>20240207</v>
      </c>
      <c r="S636" s="51" t="s">
        <v>185</v>
      </c>
      <c r="T636" s="248" t="str">
        <f>IFERROR(VLOOKUP(S636,TD!$J$34:$K$44,2,0)," ")</f>
        <v>Infraestructura física, mantenimiento y dotación (Sedes construidas, mantenidas reforzadas)</v>
      </c>
      <c r="U636" s="249" t="str">
        <f>CONCATENATE(S636,"-",T636)</f>
        <v>08-Infraestructura física, mantenimiento y dotación (Sedes construidas, mantenidas reforzadas)</v>
      </c>
      <c r="V636" s="51" t="s">
        <v>238</v>
      </c>
      <c r="W636" s="248" t="str">
        <f>IFERROR(VLOOKUP(V636,TD!$N$34:$O$46,2,0)," ")</f>
        <v>Sedes mantenidas</v>
      </c>
      <c r="X636" s="249" t="str">
        <f>CONCATENATE(V636,"_",W636)</f>
        <v>016_Sedes mantenidas</v>
      </c>
      <c r="Y636" s="249" t="str">
        <f>CONCATENATE(U636," ",X636)</f>
        <v>08-Infraestructura física, mantenimiento y dotación (Sedes construidas, mantenidas reforzadas) 016_Sedes mantenidas</v>
      </c>
      <c r="Z636" s="248" t="str">
        <f>CONCATENATE(P636,Q636,R636,S636,V636)</f>
        <v>O23011745992024020708016</v>
      </c>
      <c r="AA636" s="248" t="str">
        <f>IFERROR(VLOOKUP(Y636,TD!$K$47:$L$65,2,0)," ")</f>
        <v>PM/0131/0108/45990160207</v>
      </c>
      <c r="AB636" s="53" t="s">
        <v>138</v>
      </c>
      <c r="AC636" s="250" t="s">
        <v>205</v>
      </c>
    </row>
    <row r="637" spans="2:29" s="28" customFormat="1" ht="98" x14ac:dyDescent="0.35">
      <c r="B637" s="77">
        <v>20250715</v>
      </c>
      <c r="C637" s="50" t="s">
        <v>208</v>
      </c>
      <c r="D637" s="246" t="s">
        <v>166</v>
      </c>
      <c r="E637" s="51" t="s">
        <v>558</v>
      </c>
      <c r="F637" s="246" t="s">
        <v>911</v>
      </c>
      <c r="G637" s="246" t="s">
        <v>137</v>
      </c>
      <c r="H637" s="93" t="s">
        <v>406</v>
      </c>
      <c r="I637" s="247" t="s">
        <v>406</v>
      </c>
      <c r="J637" s="247" t="s">
        <v>406</v>
      </c>
      <c r="K637" s="52" t="s">
        <v>406</v>
      </c>
      <c r="L637" s="53">
        <v>1100000</v>
      </c>
      <c r="M637" s="246" t="s">
        <v>173</v>
      </c>
      <c r="N637" s="53" t="s">
        <v>128</v>
      </c>
      <c r="O637" s="51" t="s">
        <v>219</v>
      </c>
      <c r="P637" s="248" t="str">
        <f>IFERROR(VLOOKUP(C637,TD!$B$33:$F$37,2,0)," ")</f>
        <v>O230117</v>
      </c>
      <c r="Q637" s="248" t="str">
        <f>IFERROR(VLOOKUP(C637,TD!$B$33:$F$37,3,0)," ")</f>
        <v>4599</v>
      </c>
      <c r="R637" s="248">
        <f>IFERROR(VLOOKUP(C637,TD!$B$33:$F$37,4,0)," ")</f>
        <v>20240207</v>
      </c>
      <c r="S637" s="51" t="s">
        <v>185</v>
      </c>
      <c r="T637" s="248" t="str">
        <f>IFERROR(VLOOKUP(S637,TD!$J$34:$K$44,2,0)," ")</f>
        <v>Infraestructura física, mantenimiento y dotación (Sedes construidas, mantenidas reforzadas)</v>
      </c>
      <c r="U637" s="249" t="str">
        <f>CONCATENATE(S637,"-",T637)</f>
        <v>08-Infraestructura física, mantenimiento y dotación (Sedes construidas, mantenidas reforzadas)</v>
      </c>
      <c r="V637" s="51" t="s">
        <v>238</v>
      </c>
      <c r="W637" s="248" t="str">
        <f>IFERROR(VLOOKUP(V637,TD!$N$34:$O$46,2,0)," ")</f>
        <v>Sedes mantenidas</v>
      </c>
      <c r="X637" s="249" t="str">
        <f>CONCATENATE(V637,"_",W637)</f>
        <v>016_Sedes mantenidas</v>
      </c>
      <c r="Y637" s="249" t="str">
        <f>CONCATENATE(U637," ",X637)</f>
        <v>08-Infraestructura física, mantenimiento y dotación (Sedes construidas, mantenidas reforzadas) 016_Sedes mantenidas</v>
      </c>
      <c r="Z637" s="248" t="str">
        <f>CONCATENATE(P637,Q637,R637,S637,V637)</f>
        <v>O23011745992024020708016</v>
      </c>
      <c r="AA637" s="248" t="str">
        <f>IFERROR(VLOOKUP(Y637,TD!$K$47:$L$65,2,0)," ")</f>
        <v>PM/0131/0108/45990160207</v>
      </c>
      <c r="AB637" s="53" t="s">
        <v>120</v>
      </c>
      <c r="AC637" s="250" t="s">
        <v>205</v>
      </c>
    </row>
    <row r="638" spans="2:29" s="28" customFormat="1" ht="56" x14ac:dyDescent="0.35">
      <c r="B638" s="77">
        <v>20250716</v>
      </c>
      <c r="C638" s="50" t="s">
        <v>209</v>
      </c>
      <c r="D638" s="246" t="s">
        <v>166</v>
      </c>
      <c r="E638" s="51" t="s">
        <v>558</v>
      </c>
      <c r="F638" s="246" t="s">
        <v>912</v>
      </c>
      <c r="G638" s="246" t="s">
        <v>137</v>
      </c>
      <c r="H638" s="93" t="s">
        <v>406</v>
      </c>
      <c r="I638" s="247" t="s">
        <v>406</v>
      </c>
      <c r="J638" s="247" t="s">
        <v>406</v>
      </c>
      <c r="K638" s="52" t="s">
        <v>406</v>
      </c>
      <c r="L638" s="53">
        <v>80100864</v>
      </c>
      <c r="M638" s="246" t="s">
        <v>173</v>
      </c>
      <c r="N638" s="53" t="s">
        <v>128</v>
      </c>
      <c r="O638" s="51" t="s">
        <v>227</v>
      </c>
      <c r="P638" s="248" t="str">
        <f>IFERROR(VLOOKUP(C638,TD!$B$33:$F$37,2,0)," ")</f>
        <v>O230117</v>
      </c>
      <c r="Q638" s="248" t="str">
        <f>IFERROR(VLOOKUP(C638,TD!$B$33:$F$37,3,0)," ")</f>
        <v>4503</v>
      </c>
      <c r="R638" s="248">
        <f>IFERROR(VLOOKUP(C638,TD!$B$33:$F$37,4,0)," ")</f>
        <v>20240255</v>
      </c>
      <c r="S638" s="51" t="s">
        <v>185</v>
      </c>
      <c r="T638" s="248" t="str">
        <f>IFERROR(VLOOKUP(S638,TD!$J$34:$K$44,2,0)," ")</f>
        <v>Infraestructura física, mantenimiento y dotación (Sedes construidas, mantenidas reforzadas)</v>
      </c>
      <c r="U638" s="249" t="str">
        <f>CONCATENATE(S638,"-",T638)</f>
        <v>08-Infraestructura física, mantenimiento y dotación (Sedes construidas, mantenidas reforzadas)</v>
      </c>
      <c r="V638" s="51" t="s">
        <v>236</v>
      </c>
      <c r="W638" s="248" t="str">
        <f>IFERROR(VLOOKUP(V638,TD!$N$34:$O$46,2,0)," ")</f>
        <v>Estaciones de bomberos adecuadas</v>
      </c>
      <c r="X638" s="249" t="str">
        <f>CONCATENATE(V638,"_",W638)</f>
        <v>014_Estaciones de bomberos adecuadas</v>
      </c>
      <c r="Y638" s="249" t="str">
        <f>CONCATENATE(U638," ",X638)</f>
        <v>08-Infraestructura física, mantenimiento y dotación (Sedes construidas, mantenidas reforzadas) 014_Estaciones de bomberos adecuadas</v>
      </c>
      <c r="Z638" s="248" t="str">
        <f>CONCATENATE(P638,Q638,R638,S638,V638)</f>
        <v>O23011745032024025508014</v>
      </c>
      <c r="AA638" s="248" t="str">
        <f>IFERROR(VLOOKUP(Y638,TD!$K$47:$L$65,2,0)," ")</f>
        <v>PM/0131/0108/45030140255</v>
      </c>
      <c r="AB638" s="53" t="s">
        <v>102</v>
      </c>
      <c r="AC638" s="250" t="s">
        <v>205</v>
      </c>
    </row>
    <row r="639" spans="2:29" s="28" customFormat="1" ht="98" x14ac:dyDescent="0.35">
      <c r="B639" s="77">
        <v>20250717</v>
      </c>
      <c r="C639" s="50" t="s">
        <v>209</v>
      </c>
      <c r="D639" s="246" t="s">
        <v>166</v>
      </c>
      <c r="E639" s="51" t="s">
        <v>558</v>
      </c>
      <c r="F639" s="246" t="s">
        <v>913</v>
      </c>
      <c r="G639" s="246" t="s">
        <v>137</v>
      </c>
      <c r="H639" s="93" t="s">
        <v>406</v>
      </c>
      <c r="I639" s="247" t="s">
        <v>406</v>
      </c>
      <c r="J639" s="247" t="s">
        <v>406</v>
      </c>
      <c r="K639" s="52" t="s">
        <v>406</v>
      </c>
      <c r="L639" s="53">
        <v>35774826</v>
      </c>
      <c r="M639" s="246" t="s">
        <v>173</v>
      </c>
      <c r="N639" s="53" t="s">
        <v>128</v>
      </c>
      <c r="O639" s="51" t="s">
        <v>227</v>
      </c>
      <c r="P639" s="248" t="str">
        <f>IFERROR(VLOOKUP(C639,TD!$B$33:$F$37,2,0)," ")</f>
        <v>O230117</v>
      </c>
      <c r="Q639" s="248" t="str">
        <f>IFERROR(VLOOKUP(C639,TD!$B$33:$F$37,3,0)," ")</f>
        <v>4503</v>
      </c>
      <c r="R639" s="248">
        <f>IFERROR(VLOOKUP(C639,TD!$B$33:$F$37,4,0)," ")</f>
        <v>20240255</v>
      </c>
      <c r="S639" s="51" t="s">
        <v>185</v>
      </c>
      <c r="T639" s="248" t="str">
        <f>IFERROR(VLOOKUP(S639,TD!$J$34:$K$44,2,0)," ")</f>
        <v>Infraestructura física, mantenimiento y dotación (Sedes construidas, mantenidas reforzadas)</v>
      </c>
      <c r="U639" s="249" t="str">
        <f>CONCATENATE(S639,"-",T639)</f>
        <v>08-Infraestructura física, mantenimiento y dotación (Sedes construidas, mantenidas reforzadas)</v>
      </c>
      <c r="V639" s="51" t="s">
        <v>236</v>
      </c>
      <c r="W639" s="248" t="str">
        <f>IFERROR(VLOOKUP(V639,TD!$N$34:$O$46,2,0)," ")</f>
        <v>Estaciones de bomberos adecuadas</v>
      </c>
      <c r="X639" s="249" t="str">
        <f>CONCATENATE(V639,"_",W639)</f>
        <v>014_Estaciones de bomberos adecuadas</v>
      </c>
      <c r="Y639" s="249" t="str">
        <f>CONCATENATE(U639," ",X639)</f>
        <v>08-Infraestructura física, mantenimiento y dotación (Sedes construidas, mantenidas reforzadas) 014_Estaciones de bomberos adecuadas</v>
      </c>
      <c r="Z639" s="248" t="str">
        <f>CONCATENATE(P639,Q639,R639,S639,V639)</f>
        <v>O23011745032024025508014</v>
      </c>
      <c r="AA639" s="248" t="str">
        <f>IFERROR(VLOOKUP(Y639,TD!$K$47:$L$65,2,0)," ")</f>
        <v>PM/0131/0108/45030140255</v>
      </c>
      <c r="AB639" s="53" t="s">
        <v>102</v>
      </c>
      <c r="AC639" s="250" t="s">
        <v>205</v>
      </c>
    </row>
    <row r="640" spans="2:29" s="28" customFormat="1" ht="98" x14ac:dyDescent="0.35">
      <c r="B640" s="77">
        <v>20250718</v>
      </c>
      <c r="C640" s="50" t="s">
        <v>209</v>
      </c>
      <c r="D640" s="246" t="s">
        <v>166</v>
      </c>
      <c r="E640" s="51" t="s">
        <v>558</v>
      </c>
      <c r="F640" s="246" t="s">
        <v>914</v>
      </c>
      <c r="G640" s="246" t="s">
        <v>137</v>
      </c>
      <c r="H640" s="93" t="s">
        <v>406</v>
      </c>
      <c r="I640" s="247" t="s">
        <v>406</v>
      </c>
      <c r="J640" s="247" t="s">
        <v>406</v>
      </c>
      <c r="K640" s="52" t="s">
        <v>406</v>
      </c>
      <c r="L640" s="53">
        <v>2450000</v>
      </c>
      <c r="M640" s="246" t="s">
        <v>173</v>
      </c>
      <c r="N640" s="53" t="s">
        <v>128</v>
      </c>
      <c r="O640" s="51" t="s">
        <v>227</v>
      </c>
      <c r="P640" s="248" t="str">
        <f>IFERROR(VLOOKUP(C640,TD!$B$33:$F$37,2,0)," ")</f>
        <v>O230117</v>
      </c>
      <c r="Q640" s="248" t="str">
        <f>IFERROR(VLOOKUP(C640,TD!$B$33:$F$37,3,0)," ")</f>
        <v>4503</v>
      </c>
      <c r="R640" s="248">
        <f>IFERROR(VLOOKUP(C640,TD!$B$33:$F$37,4,0)," ")</f>
        <v>20240255</v>
      </c>
      <c r="S640" s="51" t="s">
        <v>185</v>
      </c>
      <c r="T640" s="248" t="str">
        <f>IFERROR(VLOOKUP(S640,TD!$J$34:$K$44,2,0)," ")</f>
        <v>Infraestructura física, mantenimiento y dotación (Sedes construidas, mantenidas reforzadas)</v>
      </c>
      <c r="U640" s="249" t="str">
        <f>CONCATENATE(S640,"-",T640)</f>
        <v>08-Infraestructura física, mantenimiento y dotación (Sedes construidas, mantenidas reforzadas)</v>
      </c>
      <c r="V640" s="51" t="s">
        <v>236</v>
      </c>
      <c r="W640" s="248" t="str">
        <f>IFERROR(VLOOKUP(V640,TD!$N$34:$O$46,2,0)," ")</f>
        <v>Estaciones de bomberos adecuadas</v>
      </c>
      <c r="X640" s="249" t="str">
        <f>CONCATENATE(V640,"_",W640)</f>
        <v>014_Estaciones de bomberos adecuadas</v>
      </c>
      <c r="Y640" s="249" t="str">
        <f>CONCATENATE(U640," ",X640)</f>
        <v>08-Infraestructura física, mantenimiento y dotación (Sedes construidas, mantenidas reforzadas) 014_Estaciones de bomberos adecuadas</v>
      </c>
      <c r="Z640" s="248" t="str">
        <f>CONCATENATE(P640,Q640,R640,S640,V640)</f>
        <v>O23011745032024025508014</v>
      </c>
      <c r="AA640" s="248" t="str">
        <f>IFERROR(VLOOKUP(Y640,TD!$K$47:$L$65,2,0)," ")</f>
        <v>PM/0131/0108/45030140255</v>
      </c>
      <c r="AB640" s="53" t="s">
        <v>138</v>
      </c>
      <c r="AC640" s="250" t="s">
        <v>205</v>
      </c>
    </row>
    <row r="641" spans="2:29" s="28" customFormat="1" ht="98" x14ac:dyDescent="0.35">
      <c r="B641" s="77">
        <v>20250719</v>
      </c>
      <c r="C641" s="50" t="s">
        <v>209</v>
      </c>
      <c r="D641" s="246" t="s">
        <v>166</v>
      </c>
      <c r="E641" s="51" t="s">
        <v>558</v>
      </c>
      <c r="F641" s="246" t="s">
        <v>915</v>
      </c>
      <c r="G641" s="246" t="s">
        <v>137</v>
      </c>
      <c r="H641" s="93" t="s">
        <v>406</v>
      </c>
      <c r="I641" s="247" t="s">
        <v>406</v>
      </c>
      <c r="J641" s="247" t="s">
        <v>406</v>
      </c>
      <c r="K641" s="52" t="s">
        <v>406</v>
      </c>
      <c r="L641" s="53">
        <v>95749143</v>
      </c>
      <c r="M641" s="246" t="s">
        <v>173</v>
      </c>
      <c r="N641" s="53" t="s">
        <v>128</v>
      </c>
      <c r="O641" s="51" t="s">
        <v>227</v>
      </c>
      <c r="P641" s="248" t="str">
        <f>IFERROR(VLOOKUP(C641,TD!$B$33:$F$37,2,0)," ")</f>
        <v>O230117</v>
      </c>
      <c r="Q641" s="248" t="str">
        <f>IFERROR(VLOOKUP(C641,TD!$B$33:$F$37,3,0)," ")</f>
        <v>4503</v>
      </c>
      <c r="R641" s="248">
        <f>IFERROR(VLOOKUP(C641,TD!$B$33:$F$37,4,0)," ")</f>
        <v>20240255</v>
      </c>
      <c r="S641" s="51" t="s">
        <v>185</v>
      </c>
      <c r="T641" s="248" t="str">
        <f>IFERROR(VLOOKUP(S641,TD!$J$34:$K$44,2,0)," ")</f>
        <v>Infraestructura física, mantenimiento y dotación (Sedes construidas, mantenidas reforzadas)</v>
      </c>
      <c r="U641" s="249" t="str">
        <f>CONCATENATE(S641,"-",T641)</f>
        <v>08-Infraestructura física, mantenimiento y dotación (Sedes construidas, mantenidas reforzadas)</v>
      </c>
      <c r="V641" s="51" t="s">
        <v>236</v>
      </c>
      <c r="W641" s="248" t="str">
        <f>IFERROR(VLOOKUP(V641,TD!$N$34:$O$46,2,0)," ")</f>
        <v>Estaciones de bomberos adecuadas</v>
      </c>
      <c r="X641" s="249" t="str">
        <f>CONCATENATE(V641,"_",W641)</f>
        <v>014_Estaciones de bomberos adecuadas</v>
      </c>
      <c r="Y641" s="249" t="str">
        <f>CONCATENATE(U641," ",X641)</f>
        <v>08-Infraestructura física, mantenimiento y dotación (Sedes construidas, mantenidas reforzadas) 014_Estaciones de bomberos adecuadas</v>
      </c>
      <c r="Z641" s="248" t="str">
        <f>CONCATENATE(P641,Q641,R641,S641,V641)</f>
        <v>O23011745032024025508014</v>
      </c>
      <c r="AA641" s="248" t="str">
        <f>IFERROR(VLOOKUP(Y641,TD!$K$47:$L$65,2,0)," ")</f>
        <v>PM/0131/0108/45030140255</v>
      </c>
      <c r="AB641" s="53" t="s">
        <v>102</v>
      </c>
      <c r="AC641" s="250" t="s">
        <v>205</v>
      </c>
    </row>
    <row r="642" spans="2:29" ht="42" x14ac:dyDescent="0.35">
      <c r="B642" s="132">
        <v>20250720</v>
      </c>
      <c r="C642" s="133" t="s">
        <v>209</v>
      </c>
      <c r="D642" s="298" t="s">
        <v>166</v>
      </c>
      <c r="E642" s="51" t="s">
        <v>558</v>
      </c>
      <c r="F642" s="298" t="s">
        <v>916</v>
      </c>
      <c r="G642" s="298" t="s">
        <v>137</v>
      </c>
      <c r="H642" s="134" t="s">
        <v>406</v>
      </c>
      <c r="I642" s="299" t="s">
        <v>406</v>
      </c>
      <c r="J642" s="299" t="s">
        <v>406</v>
      </c>
      <c r="K642" s="135" t="s">
        <v>406</v>
      </c>
      <c r="L642" s="131">
        <v>10284691</v>
      </c>
      <c r="M642" s="298" t="s">
        <v>173</v>
      </c>
      <c r="N642" s="131" t="s">
        <v>128</v>
      </c>
      <c r="O642" s="51" t="s">
        <v>227</v>
      </c>
      <c r="P642" s="300" t="str">
        <f>IFERROR(VLOOKUP(C642,TD!$B$33:$F$37,2,0)," ")</f>
        <v>O230117</v>
      </c>
      <c r="Q642" s="300" t="str">
        <f>IFERROR(VLOOKUP(C642,TD!$B$33:$F$37,3,0)," ")</f>
        <v>4503</v>
      </c>
      <c r="R642" s="300">
        <f>IFERROR(VLOOKUP(C642,TD!$B$33:$F$37,4,0)," ")</f>
        <v>20240255</v>
      </c>
      <c r="S642" s="302" t="s">
        <v>185</v>
      </c>
      <c r="T642" s="248" t="str">
        <f>IFERROR(VLOOKUP(S642,TD!$J$34:$K$44,2,0)," ")</f>
        <v>Infraestructura física, mantenimiento y dotación (Sedes construidas, mantenidas reforzadas)</v>
      </c>
      <c r="U642" s="296" t="str">
        <f>CONCATENATE(S642,"-",T642)</f>
        <v>08-Infraestructura física, mantenimiento y dotación (Sedes construidas, mantenidas reforzadas)</v>
      </c>
      <c r="V642" s="302" t="s">
        <v>236</v>
      </c>
      <c r="W642" s="248" t="str">
        <f>IFERROR(VLOOKUP(V642,TD!$N$34:$O$46,2,0)," ")</f>
        <v>Estaciones de bomberos adecuadas</v>
      </c>
      <c r="X642" s="296" t="str">
        <f>CONCATENATE(V642,"_",W642)</f>
        <v>014_Estaciones de bomberos adecuadas</v>
      </c>
      <c r="Y642" s="296" t="str">
        <f>CONCATENATE(U642," ",X642)</f>
        <v>08-Infraestructura física, mantenimiento y dotación (Sedes construidas, mantenidas reforzadas) 014_Estaciones de bomberos adecuadas</v>
      </c>
      <c r="Z642" s="300" t="str">
        <f>CONCATENATE(P642,Q642,R642,S642,V642)</f>
        <v>O23011745032024025508014</v>
      </c>
      <c r="AA642" s="300" t="str">
        <f>IFERROR(VLOOKUP(Y642,TD!$K$47:$L$65,2,0)," ")</f>
        <v>PM/0131/0108/45030140255</v>
      </c>
      <c r="AB642" s="131" t="s">
        <v>102</v>
      </c>
      <c r="AC642" s="301" t="s">
        <v>205</v>
      </c>
    </row>
    <row r="643" spans="2:29" ht="70" x14ac:dyDescent="0.35">
      <c r="B643" s="77">
        <v>20250721</v>
      </c>
      <c r="C643" s="50" t="s">
        <v>346</v>
      </c>
      <c r="D643" s="246" t="s">
        <v>166</v>
      </c>
      <c r="E643" s="51" t="s">
        <v>558</v>
      </c>
      <c r="F643" s="246" t="s">
        <v>917</v>
      </c>
      <c r="G643" s="246" t="s">
        <v>137</v>
      </c>
      <c r="H643" s="93" t="s">
        <v>406</v>
      </c>
      <c r="I643" s="247" t="s">
        <v>406</v>
      </c>
      <c r="J643" s="247" t="s">
        <v>406</v>
      </c>
      <c r="K643" s="52" t="s">
        <v>406</v>
      </c>
      <c r="L643" s="53">
        <v>1732849</v>
      </c>
      <c r="M643" s="246" t="s">
        <v>173</v>
      </c>
      <c r="N643" s="53" t="s">
        <v>128</v>
      </c>
      <c r="O643" s="51" t="s">
        <v>347</v>
      </c>
      <c r="P643" s="248" t="str">
        <f>IFERROR(VLOOKUP(C643,TD!$B$33:$F$37,2,0)," ")</f>
        <v>NA</v>
      </c>
      <c r="Q643" s="248" t="str">
        <f>IFERROR(VLOOKUP(C643,TD!$B$33:$F$37,3,0)," ")</f>
        <v>NA</v>
      </c>
      <c r="R643" s="248" t="str">
        <f>IFERROR(VLOOKUP(C643,TD!$B$33:$F$37,4,0)," ")</f>
        <v>NA</v>
      </c>
      <c r="S643" s="51" t="s">
        <v>406</v>
      </c>
      <c r="T643" s="248" t="str">
        <f>IFERROR(VLOOKUP(S643,TD!$J$34:$K$44,2,0)," ")</f>
        <v>N/A</v>
      </c>
      <c r="U643" s="249" t="str">
        <f>CONCATENATE(S643,"-",T643)</f>
        <v>N/A-N/A</v>
      </c>
      <c r="V643" s="302" t="s">
        <v>406</v>
      </c>
      <c r="W643" s="248" t="str">
        <f>IFERROR(VLOOKUP(V643,TD!$N$34:$O$46,2,0)," ")</f>
        <v>N/A</v>
      </c>
      <c r="X643" s="249" t="str">
        <f>CONCATENATE(V643,"_",W643)</f>
        <v>N/A_N/A</v>
      </c>
      <c r="Y643" s="249" t="str">
        <f>CONCATENATE(U643," ",X643)</f>
        <v>N/A-N/A N/A_N/A</v>
      </c>
      <c r="Z643" s="248" t="str">
        <f>CONCATENATE(P643,Q643,R643,S643,V643)</f>
        <v>NANANAN/AN/A</v>
      </c>
      <c r="AA643" s="248" t="str">
        <f>IFERROR(VLOOKUP(Y643,TD!$K$47:$L$65,2,0)," ")</f>
        <v>N/A</v>
      </c>
      <c r="AB643" s="53" t="s">
        <v>663</v>
      </c>
      <c r="AC643" s="51" t="s">
        <v>205</v>
      </c>
    </row>
    <row r="644" spans="2:29" ht="70" x14ac:dyDescent="0.35">
      <c r="B644" s="137">
        <v>20250722</v>
      </c>
      <c r="C644" s="138" t="s">
        <v>208</v>
      </c>
      <c r="D644" s="251" t="s">
        <v>162</v>
      </c>
      <c r="E644" s="252" t="s">
        <v>355</v>
      </c>
      <c r="F644" s="292" t="s">
        <v>920</v>
      </c>
      <c r="G644" s="292" t="s">
        <v>149</v>
      </c>
      <c r="H644" s="139" t="s">
        <v>922</v>
      </c>
      <c r="I644" s="293">
        <v>6</v>
      </c>
      <c r="J644" s="293">
        <v>12</v>
      </c>
      <c r="K644" s="140">
        <v>0</v>
      </c>
      <c r="L644" s="141">
        <v>187920001</v>
      </c>
      <c r="M644" s="292" t="s">
        <v>464</v>
      </c>
      <c r="N644" s="141" t="s">
        <v>113</v>
      </c>
      <c r="O644" s="252" t="s">
        <v>214</v>
      </c>
      <c r="P644" s="294" t="str">
        <f>IFERROR(VLOOKUP(C644,TD!$B$33:$F$37,2,0)," ")</f>
        <v>O230117</v>
      </c>
      <c r="Q644" s="294" t="str">
        <f>IFERROR(VLOOKUP(C644,TD!$B$33:$F$37,3,0)," ")</f>
        <v>4599</v>
      </c>
      <c r="R644" s="294">
        <f>IFERROR(VLOOKUP(C644,TD!$B$33:$F$37,4,0)," ")</f>
        <v>20240207</v>
      </c>
      <c r="S644" s="295" t="s">
        <v>179</v>
      </c>
      <c r="T644" s="254" t="str">
        <f>IFERROR(VLOOKUP(S644,TD!$J$34:$K$44,2,0)," ")</f>
        <v>Infraestructura Tecnológica   (Sistemas de Información y Tecnologia)</v>
      </c>
      <c r="U644" s="296" t="str">
        <f>CONCATENATE(S644,"-",T644)</f>
        <v>11-Infraestructura Tecnológica   (Sistemas de Información y Tecnologia)</v>
      </c>
      <c r="V644" s="295" t="s">
        <v>239</v>
      </c>
      <c r="W644" s="254" t="str">
        <f>IFERROR(VLOOKUP(V644,TD!$N$34:$O$46,2,0)," ")</f>
        <v>Servicios tecnológicos</v>
      </c>
      <c r="X644" s="296" t="str">
        <f>CONCATENATE(V644,"_",W644)</f>
        <v>007_Servicios tecnológicos</v>
      </c>
      <c r="Y644" s="296" t="str">
        <f>CONCATENATE(U644," ",X644)</f>
        <v>11-Infraestructura Tecnológica   (Sistemas de Información y Tecnologia) 007_Servicios tecnológicos</v>
      </c>
      <c r="Z644" s="294" t="str">
        <f>CONCATENATE(P644,Q644,R644,S644,V644)</f>
        <v>O23011745992024020711007</v>
      </c>
      <c r="AA644" s="294" t="str">
        <f>IFERROR(VLOOKUP(Y644,TD!$K$47:$L$65,2,0)," ")</f>
        <v>PM/0131/0111/45990070207</v>
      </c>
      <c r="AB644" s="141" t="s">
        <v>125</v>
      </c>
      <c r="AC644" s="255" t="s">
        <v>204</v>
      </c>
    </row>
    <row r="645" spans="2:29" ht="56" x14ac:dyDescent="0.35">
      <c r="B645" s="132">
        <v>20250724</v>
      </c>
      <c r="C645" s="50" t="s">
        <v>208</v>
      </c>
      <c r="D645" s="246" t="s">
        <v>162</v>
      </c>
      <c r="E645" s="51" t="s">
        <v>355</v>
      </c>
      <c r="F645" s="246" t="s">
        <v>921</v>
      </c>
      <c r="G645" s="246" t="s">
        <v>137</v>
      </c>
      <c r="H645" s="93">
        <v>80111600</v>
      </c>
      <c r="I645" s="247">
        <v>6</v>
      </c>
      <c r="J645" s="247">
        <v>6</v>
      </c>
      <c r="K645" s="52">
        <v>0</v>
      </c>
      <c r="L645" s="53">
        <v>213334</v>
      </c>
      <c r="M645" s="246" t="s">
        <v>173</v>
      </c>
      <c r="N645" s="53" t="s">
        <v>128</v>
      </c>
      <c r="O645" s="51" t="s">
        <v>217</v>
      </c>
      <c r="P645" s="248" t="str">
        <f>IFERROR(VLOOKUP(C645,TD!$B$33:$F$37,2,0)," ")</f>
        <v>O230117</v>
      </c>
      <c r="Q645" s="248" t="str">
        <f>IFERROR(VLOOKUP(C645,TD!$B$33:$F$37,3,0)," ")</f>
        <v>4599</v>
      </c>
      <c r="R645" s="248">
        <f>IFERROR(VLOOKUP(C645,TD!$B$33:$F$37,4,0)," ")</f>
        <v>20240207</v>
      </c>
      <c r="S645" s="51" t="s">
        <v>179</v>
      </c>
      <c r="T645" s="248" t="str">
        <f>IFERROR(VLOOKUP(S645,TD!$J$34:$K$44,2,0)," ")</f>
        <v>Infraestructura Tecnológica   (Sistemas de Información y Tecnologia)</v>
      </c>
      <c r="U645" s="249" t="str">
        <f>CONCATENATE(S645,"-",T645)</f>
        <v>11-Infraestructura Tecnológica   (Sistemas de Información y Tecnologia)</v>
      </c>
      <c r="V645" s="51" t="s">
        <v>239</v>
      </c>
      <c r="W645" s="248" t="str">
        <f>IFERROR(VLOOKUP(V645,TD!$N$34:$O$46,2,0)," ")</f>
        <v>Servicios tecnológicos</v>
      </c>
      <c r="X645" s="249" t="str">
        <f>CONCATENATE(V645,"_",W645)</f>
        <v>007_Servicios tecnológicos</v>
      </c>
      <c r="Y645" s="249" t="str">
        <f>CONCATENATE(U645," ",X645)</f>
        <v>11-Infraestructura Tecnológica   (Sistemas de Información y Tecnologia) 007_Servicios tecnológicos</v>
      </c>
      <c r="Z645" s="248" t="str">
        <f>CONCATENATE(P645,Q645,R645,S645,V645)</f>
        <v>O23011745992024020711007</v>
      </c>
      <c r="AA645" s="248" t="str">
        <f>IFERROR(VLOOKUP(Y645,TD!$K$47:$L$65,2,0)," ")</f>
        <v>PM/0131/0111/45990070207</v>
      </c>
      <c r="AB645" s="53" t="s">
        <v>138</v>
      </c>
      <c r="AC645" s="250" t="s">
        <v>205</v>
      </c>
    </row>
    <row r="646" spans="2:29" ht="70" x14ac:dyDescent="0.35">
      <c r="B646" s="77">
        <v>20250726</v>
      </c>
      <c r="C646" s="50" t="s">
        <v>208</v>
      </c>
      <c r="D646" s="246" t="s">
        <v>164</v>
      </c>
      <c r="E646" s="51" t="s">
        <v>389</v>
      </c>
      <c r="F646" s="298" t="s">
        <v>925</v>
      </c>
      <c r="G646" s="298" t="s">
        <v>155</v>
      </c>
      <c r="H646" s="134">
        <v>80111600</v>
      </c>
      <c r="I646" s="299">
        <v>6</v>
      </c>
      <c r="J646" s="299">
        <v>1</v>
      </c>
      <c r="K646" s="135">
        <v>0</v>
      </c>
      <c r="L646" s="131">
        <v>7500000</v>
      </c>
      <c r="M646" s="246" t="s">
        <v>464</v>
      </c>
      <c r="N646" s="131" t="s">
        <v>113</v>
      </c>
      <c r="O646" s="51" t="s">
        <v>219</v>
      </c>
      <c r="P646" s="300" t="str">
        <f>IFERROR(VLOOKUP(C646,TD!$B$33:$F$37,2,0)," ")</f>
        <v>O230117</v>
      </c>
      <c r="Q646" s="300" t="str">
        <f>IFERROR(VLOOKUP(C646,TD!$B$33:$F$37,3,0)," ")</f>
        <v>4599</v>
      </c>
      <c r="R646" s="300">
        <f>IFERROR(VLOOKUP(C646,TD!$B$33:$F$37,4,0)," ")</f>
        <v>20240207</v>
      </c>
      <c r="S646" s="51" t="s">
        <v>185</v>
      </c>
      <c r="T646" s="248" t="str">
        <f>IFERROR(VLOOKUP(S646,TD!$J$34:$K$44,2,0)," ")</f>
        <v>Infraestructura física, mantenimiento y dotación (Sedes construidas, mantenidas reforzadas)</v>
      </c>
      <c r="U646" s="296" t="str">
        <f>CONCATENATE(S646,"-",T646)</f>
        <v>08-Infraestructura física, mantenimiento y dotación (Sedes construidas, mantenidas reforzadas)</v>
      </c>
      <c r="V646" s="51" t="s">
        <v>238</v>
      </c>
      <c r="W646" s="248" t="str">
        <f>IFERROR(VLOOKUP(V646,TD!$N$34:$O$46,2,0)," ")</f>
        <v>Sedes mantenidas</v>
      </c>
      <c r="X646" s="296" t="str">
        <f>CONCATENATE(V646,"_",W646)</f>
        <v>016_Sedes mantenidas</v>
      </c>
      <c r="Y646" s="296" t="str">
        <f>CONCATENATE(U646," ",X646)</f>
        <v>08-Infraestructura física, mantenimiento y dotación (Sedes construidas, mantenidas reforzadas) 016_Sedes mantenidas</v>
      </c>
      <c r="Z646" s="300" t="str">
        <f>CONCATENATE(P646,Q646,R646,S646,V646)</f>
        <v>O23011745992024020708016</v>
      </c>
      <c r="AA646" s="300" t="str">
        <f>IFERROR(VLOOKUP(Y646,TD!$K$47:$L$65,2,0)," ")</f>
        <v>PM/0131/0108/45990160207</v>
      </c>
      <c r="AB646" s="53" t="s">
        <v>120</v>
      </c>
      <c r="AC646" s="301" t="s">
        <v>205</v>
      </c>
    </row>
    <row r="647" spans="2:29" ht="84" x14ac:dyDescent="0.35">
      <c r="B647" s="132">
        <v>20250727</v>
      </c>
      <c r="C647" s="50" t="s">
        <v>208</v>
      </c>
      <c r="D647" s="246" t="s">
        <v>164</v>
      </c>
      <c r="E647" s="51" t="s">
        <v>389</v>
      </c>
      <c r="F647" s="298" t="s">
        <v>926</v>
      </c>
      <c r="G647" s="298" t="s">
        <v>155</v>
      </c>
      <c r="H647" s="134">
        <v>80111600</v>
      </c>
      <c r="I647" s="299">
        <v>2</v>
      </c>
      <c r="J647" s="299">
        <v>11</v>
      </c>
      <c r="K647" s="135">
        <v>0</v>
      </c>
      <c r="L647" s="131">
        <v>15000000</v>
      </c>
      <c r="M647" s="246" t="s">
        <v>464</v>
      </c>
      <c r="N647" s="131" t="s">
        <v>113</v>
      </c>
      <c r="O647" s="51" t="s">
        <v>219</v>
      </c>
      <c r="P647" s="300" t="str">
        <f>IFERROR(VLOOKUP(C647,TD!$B$33:$F$37,2,0)," ")</f>
        <v>O230117</v>
      </c>
      <c r="Q647" s="300" t="str">
        <f>IFERROR(VLOOKUP(C647,TD!$B$33:$F$37,3,0)," ")</f>
        <v>4599</v>
      </c>
      <c r="R647" s="300">
        <f>IFERROR(VLOOKUP(C647,TD!$B$33:$F$37,4,0)," ")</f>
        <v>20240207</v>
      </c>
      <c r="S647" s="51" t="s">
        <v>185</v>
      </c>
      <c r="T647" s="248" t="str">
        <f>IFERROR(VLOOKUP(S647,TD!$J$34:$K$44,2,0)," ")</f>
        <v>Infraestructura física, mantenimiento y dotación (Sedes construidas, mantenidas reforzadas)</v>
      </c>
      <c r="U647" s="296" t="str">
        <f>CONCATENATE(S647,"-",T647)</f>
        <v>08-Infraestructura física, mantenimiento y dotación (Sedes construidas, mantenidas reforzadas)</v>
      </c>
      <c r="V647" s="51" t="s">
        <v>238</v>
      </c>
      <c r="W647" s="248" t="str">
        <f>IFERROR(VLOOKUP(V647,TD!$N$34:$O$46,2,0)," ")</f>
        <v>Sedes mantenidas</v>
      </c>
      <c r="X647" s="296" t="str">
        <f>CONCATENATE(V647,"_",W647)</f>
        <v>016_Sedes mantenidas</v>
      </c>
      <c r="Y647" s="296" t="str">
        <f>CONCATENATE(U647," ",X647)</f>
        <v>08-Infraestructura física, mantenimiento y dotación (Sedes construidas, mantenidas reforzadas) 016_Sedes mantenidas</v>
      </c>
      <c r="Z647" s="300" t="str">
        <f>CONCATENATE(P647,Q647,R647,S647,V647)</f>
        <v>O23011745992024020708016</v>
      </c>
      <c r="AA647" s="300" t="str">
        <f>IFERROR(VLOOKUP(Y647,TD!$K$47:$L$65,2,0)," ")</f>
        <v>PM/0131/0108/45990160207</v>
      </c>
      <c r="AB647" s="53" t="s">
        <v>120</v>
      </c>
      <c r="AC647" s="301" t="s">
        <v>205</v>
      </c>
    </row>
    <row r="648" spans="2:29" ht="28" x14ac:dyDescent="0.35">
      <c r="B648" s="132">
        <v>20250728</v>
      </c>
      <c r="C648" s="133" t="s">
        <v>209</v>
      </c>
      <c r="D648" s="246" t="s">
        <v>169</v>
      </c>
      <c r="E648" s="51" t="s">
        <v>465</v>
      </c>
      <c r="F648" s="298" t="s">
        <v>877</v>
      </c>
      <c r="G648" s="298" t="s">
        <v>109</v>
      </c>
      <c r="H648" s="134" t="s">
        <v>928</v>
      </c>
      <c r="I648" s="299">
        <v>6</v>
      </c>
      <c r="J648" s="299">
        <v>6</v>
      </c>
      <c r="K648" s="135">
        <v>0</v>
      </c>
      <c r="L648" s="131">
        <v>5607172370</v>
      </c>
      <c r="M648" s="142" t="s">
        <v>464</v>
      </c>
      <c r="N648" s="131" t="s">
        <v>95</v>
      </c>
      <c r="O648" s="51" t="s">
        <v>222</v>
      </c>
      <c r="P648" s="300" t="str">
        <f>IFERROR(VLOOKUP(C648,TD!$B$33:$F$37,2,0)," ")</f>
        <v>O230117</v>
      </c>
      <c r="Q648" s="300" t="str">
        <f>IFERROR(VLOOKUP(C648,TD!$B$33:$F$37,3,0)," ")</f>
        <v>4503</v>
      </c>
      <c r="R648" s="300">
        <f>IFERROR(VLOOKUP(C648,TD!$B$33:$F$37,4,0)," ")</f>
        <v>20240255</v>
      </c>
      <c r="S648" s="302" t="s">
        <v>175</v>
      </c>
      <c r="T648" s="248" t="str">
        <f>IFERROR(VLOOKUP(S648,TD!$J$34:$K$44,2,0)," ")</f>
        <v>Servicio de atención a incidentes y emergencias.</v>
      </c>
      <c r="U648" s="296" t="str">
        <f>CONCATENATE(S648,"-",T648)</f>
        <v>04-Servicio de atención a incidentes y emergencias.</v>
      </c>
      <c r="V648" s="51" t="s">
        <v>232</v>
      </c>
      <c r="W648" s="248" t="str">
        <f>IFERROR(VLOOKUP(V648,TD!$N$34:$O$46,2,0)," ")</f>
        <v>Servicio de atención a emergencias y desastres</v>
      </c>
      <c r="X648" s="296" t="str">
        <f>CONCATENATE(V648,"_",W648)</f>
        <v>004_Servicio de atención a emergencias y desastres</v>
      </c>
      <c r="Y648" s="296" t="str">
        <f>CONCATENATE(U648," ",X648)</f>
        <v>04-Servicio de atención a incidentes y emergencias. 004_Servicio de atención a emergencias y desastres</v>
      </c>
      <c r="Z648" s="300" t="str">
        <f>CONCATENATE(P648,Q648,R648,S648,V648)</f>
        <v>O23011745032024025504004</v>
      </c>
      <c r="AA648" s="300" t="str">
        <f>IFERROR(VLOOKUP(Y648,TD!$K$47:$L$65,2,0)," ")</f>
        <v>PM/0131/0104/45030040255</v>
      </c>
      <c r="AB648" s="131" t="s">
        <v>97</v>
      </c>
      <c r="AC648" s="301" t="s">
        <v>204</v>
      </c>
    </row>
    <row r="649" spans="2:29" ht="28" x14ac:dyDescent="0.35">
      <c r="B649" s="132">
        <v>20250729</v>
      </c>
      <c r="C649" s="133" t="s">
        <v>209</v>
      </c>
      <c r="D649" s="246" t="s">
        <v>168</v>
      </c>
      <c r="E649" s="51" t="s">
        <v>600</v>
      </c>
      <c r="F649" s="298" t="s">
        <v>930</v>
      </c>
      <c r="G649" s="298" t="s">
        <v>96</v>
      </c>
      <c r="H649" s="134">
        <v>72101509</v>
      </c>
      <c r="I649" s="299">
        <v>6</v>
      </c>
      <c r="J649" s="299">
        <v>2</v>
      </c>
      <c r="K649" s="135">
        <v>0</v>
      </c>
      <c r="L649" s="131">
        <v>30000000</v>
      </c>
      <c r="M649" s="142" t="s">
        <v>464</v>
      </c>
      <c r="N649" s="131" t="s">
        <v>113</v>
      </c>
      <c r="O649" s="51" t="s">
        <v>224</v>
      </c>
      <c r="P649" s="300" t="str">
        <f>IFERROR(VLOOKUP(C649,TD!$B$33:$F$37,2,0)," ")</f>
        <v>O230117</v>
      </c>
      <c r="Q649" s="300" t="str">
        <f>IFERROR(VLOOKUP(C649,TD!$B$33:$F$37,3,0)," ")</f>
        <v>4503</v>
      </c>
      <c r="R649" s="300">
        <f>IFERROR(VLOOKUP(C649,TD!$B$33:$F$37,4,0)," ")</f>
        <v>20240255</v>
      </c>
      <c r="S649" s="302" t="s">
        <v>187</v>
      </c>
      <c r="T649" s="248" t="str">
        <f>IFERROR(VLOOKUP(S649,TD!$J$34:$K$44,2,0)," ")</f>
        <v>Servicio de mantenimiento, dotación (HEA´s y equipo menor) y adquisición de vehiculos   especializados para la atención de emergencias.</v>
      </c>
      <c r="U649" s="296" t="str">
        <f>CONCATENATE(S649,"-",T649)</f>
        <v>09-Servicio de mantenimiento, dotación (HEA´s y equipo menor) y adquisición de vehiculos   especializados para la atención de emergencias.</v>
      </c>
      <c r="V649" s="51" t="s">
        <v>232</v>
      </c>
      <c r="W649" s="248" t="str">
        <f>IFERROR(VLOOKUP(V649,TD!$N$34:$O$46,2,0)," ")</f>
        <v>Servicio de atención a emergencias y desastres</v>
      </c>
      <c r="X649" s="296" t="str">
        <f>CONCATENATE(V649,"_",W649)</f>
        <v>004_Servicio de atención a emergencias y desastres</v>
      </c>
      <c r="Y649" s="296" t="str">
        <f>CONCATENATE(U649," ",X649)</f>
        <v>09-Servicio de mantenimiento, dotación (HEA´s y equipo menor) y adquisición de vehiculos   especializados para la atención de emergencias. 004_Servicio de atención a emergencias y desastres</v>
      </c>
      <c r="Z649" s="300" t="str">
        <f>CONCATENATE(P649,Q649,R649,S649,V649)</f>
        <v>O23011745032024025509004</v>
      </c>
      <c r="AA649" s="300" t="str">
        <f>IFERROR(VLOOKUP(Y649,TD!$K$47:$L$65,2,0)," ")</f>
        <v>PM/0131/0109/45030040255</v>
      </c>
      <c r="AB649" s="131" t="s">
        <v>87</v>
      </c>
      <c r="AC649" s="301" t="s">
        <v>205</v>
      </c>
    </row>
    <row r="650" spans="2:29" ht="56" x14ac:dyDescent="0.35">
      <c r="B650" s="132">
        <v>20250730</v>
      </c>
      <c r="C650" s="50" t="s">
        <v>209</v>
      </c>
      <c r="D650" s="246" t="s">
        <v>168</v>
      </c>
      <c r="E650" s="51" t="s">
        <v>600</v>
      </c>
      <c r="F650" s="246" t="s">
        <v>931</v>
      </c>
      <c r="G650" s="246" t="s">
        <v>119</v>
      </c>
      <c r="H650" s="93" t="s">
        <v>387</v>
      </c>
      <c r="I650" s="247">
        <v>6</v>
      </c>
      <c r="J650" s="247">
        <v>12</v>
      </c>
      <c r="K650" s="52">
        <v>0</v>
      </c>
      <c r="L650" s="53">
        <v>60000000</v>
      </c>
      <c r="M650" s="136" t="s">
        <v>464</v>
      </c>
      <c r="N650" s="53" t="s">
        <v>95</v>
      </c>
      <c r="O650" s="51" t="s">
        <v>224</v>
      </c>
      <c r="P650" s="248" t="str">
        <f>IFERROR(VLOOKUP(C650,TD!$B$33:$F$37,2,0)," ")</f>
        <v>O230117</v>
      </c>
      <c r="Q650" s="248" t="str">
        <f>IFERROR(VLOOKUP(C650,TD!$B$33:$F$37,3,0)," ")</f>
        <v>4503</v>
      </c>
      <c r="R650" s="248">
        <f>IFERROR(VLOOKUP(C650,TD!$B$33:$F$37,4,0)," ")</f>
        <v>20240255</v>
      </c>
      <c r="S650" s="302" t="s">
        <v>191</v>
      </c>
      <c r="T650" s="248" t="str">
        <f>IFERROR(VLOOKUP(S650,TD!$J$34:$K$44,2,0)," ")</f>
        <v>Servicio de apoyo   logístico  en eventos operativos y/o emergencias.</v>
      </c>
      <c r="U650" s="249" t="str">
        <f>CONCATENATE(S650,"-",T650)</f>
        <v>12-Servicio de apoyo   logístico  en eventos operativos y/o emergencias.</v>
      </c>
      <c r="V650" s="51" t="s">
        <v>232</v>
      </c>
      <c r="W650" s="248" t="str">
        <f>IFERROR(VLOOKUP(V650,TD!$N$34:$O$46,2,0)," ")</f>
        <v>Servicio de atención a emergencias y desastres</v>
      </c>
      <c r="X650" s="249" t="str">
        <f>CONCATENATE(V650,"_",W650)</f>
        <v>004_Servicio de atención a emergencias y desastres</v>
      </c>
      <c r="Y650" s="249" t="str">
        <f>CONCATENATE(U650," ",X650)</f>
        <v>12-Servicio de apoyo   logístico  en eventos operativos y/o emergencias. 004_Servicio de atención a emergencias y desastres</v>
      </c>
      <c r="Z650" s="248" t="str">
        <f>CONCATENATE(P650,Q650,R650,S650,V650)</f>
        <v>O23011745032024025512004</v>
      </c>
      <c r="AA650" s="248" t="str">
        <f>IFERROR(VLOOKUP(Y650,TD!$K$47:$L$65,2,0)," ")</f>
        <v>PM/0131/0112/45030040255</v>
      </c>
      <c r="AB650" s="53" t="s">
        <v>110</v>
      </c>
      <c r="AC650" s="250" t="s">
        <v>205</v>
      </c>
    </row>
    <row r="651" spans="2:29" ht="42" x14ac:dyDescent="0.35">
      <c r="B651" s="137">
        <v>20250731</v>
      </c>
      <c r="C651" s="138" t="s">
        <v>208</v>
      </c>
      <c r="D651" s="251" t="s">
        <v>166</v>
      </c>
      <c r="E651" s="252" t="s">
        <v>558</v>
      </c>
      <c r="F651" s="292" t="s">
        <v>559</v>
      </c>
      <c r="G651" s="292" t="s">
        <v>96</v>
      </c>
      <c r="H651" s="139" t="s">
        <v>560</v>
      </c>
      <c r="I651" s="293">
        <v>8</v>
      </c>
      <c r="J651" s="293">
        <v>4</v>
      </c>
      <c r="K651" s="140">
        <v>0</v>
      </c>
      <c r="L651" s="141">
        <v>175561935</v>
      </c>
      <c r="M651" s="158" t="s">
        <v>464</v>
      </c>
      <c r="N651" s="125" t="s">
        <v>123</v>
      </c>
      <c r="O651" s="252" t="s">
        <v>218</v>
      </c>
      <c r="P651" s="294" t="str">
        <f>IFERROR(VLOOKUP(C651,TD!$B$33:$F$37,2,0)," ")</f>
        <v>O230117</v>
      </c>
      <c r="Q651" s="294" t="str">
        <f>IFERROR(VLOOKUP(C651,TD!$B$33:$F$37,3,0)," ")</f>
        <v>4599</v>
      </c>
      <c r="R651" s="294">
        <f>IFERROR(VLOOKUP(C651,TD!$B$33:$F$37,4,0)," ")</f>
        <v>20240207</v>
      </c>
      <c r="S651" s="295" t="s">
        <v>185</v>
      </c>
      <c r="T651" s="254" t="str">
        <f>IFERROR(VLOOKUP(S651,TD!$J$34:$K$44,2,0)," ")</f>
        <v>Infraestructura física, mantenimiento y dotación (Sedes construidas, mantenidas reforzadas)</v>
      </c>
      <c r="U651" s="296" t="str">
        <f>CONCATENATE(S651,"-",T651)</f>
        <v>08-Infraestructura física, mantenimiento y dotación (Sedes construidas, mantenidas reforzadas)</v>
      </c>
      <c r="V651" s="252" t="s">
        <v>238</v>
      </c>
      <c r="W651" s="254" t="str">
        <f>IFERROR(VLOOKUP(V651,TD!$N$34:$O$46,2,0)," ")</f>
        <v>Sedes mantenidas</v>
      </c>
      <c r="X651" s="296" t="str">
        <f>CONCATENATE(V651,"_",W651)</f>
        <v>016_Sedes mantenidas</v>
      </c>
      <c r="Y651" s="296" t="str">
        <f>CONCATENATE(U651," ",X651)</f>
        <v>08-Infraestructura física, mantenimiento y dotación (Sedes construidas, mantenidas reforzadas) 016_Sedes mantenidas</v>
      </c>
      <c r="Z651" s="294" t="str">
        <f>CONCATENATE(P651,Q651,R651,S651,V651)</f>
        <v>O23011745992024020708016</v>
      </c>
      <c r="AA651" s="294" t="str">
        <f>IFERROR(VLOOKUP(Y651,TD!$K$47:$L$65,2,0)," ")</f>
        <v>PM/0131/0108/45990160207</v>
      </c>
      <c r="AB651" s="141" t="s">
        <v>143</v>
      </c>
      <c r="AC651" s="255" t="s">
        <v>204</v>
      </c>
    </row>
    <row r="652" spans="2:29" ht="42" x14ac:dyDescent="0.35">
      <c r="B652" s="132">
        <v>20250732</v>
      </c>
      <c r="C652" s="133" t="s">
        <v>208</v>
      </c>
      <c r="D652" s="246" t="s">
        <v>166</v>
      </c>
      <c r="E652" s="51" t="s">
        <v>558</v>
      </c>
      <c r="F652" s="298" t="s">
        <v>972</v>
      </c>
      <c r="G652" s="298" t="s">
        <v>146</v>
      </c>
      <c r="H652" s="134" t="s">
        <v>935</v>
      </c>
      <c r="I652" s="299">
        <v>7</v>
      </c>
      <c r="J652" s="299">
        <v>1</v>
      </c>
      <c r="K652" s="135">
        <v>17</v>
      </c>
      <c r="L652" s="131">
        <f>155000000+45000000</f>
        <v>200000000</v>
      </c>
      <c r="M652" s="142" t="s">
        <v>464</v>
      </c>
      <c r="N652" s="53" t="s">
        <v>85</v>
      </c>
      <c r="O652" s="51" t="s">
        <v>218</v>
      </c>
      <c r="P652" s="300" t="str">
        <f>IFERROR(VLOOKUP(C652,TD!$B$33:$F$37,2,0)," ")</f>
        <v>O230117</v>
      </c>
      <c r="Q652" s="300" t="str">
        <f>IFERROR(VLOOKUP(C652,TD!$B$33:$F$37,3,0)," ")</f>
        <v>4599</v>
      </c>
      <c r="R652" s="300">
        <f>IFERROR(VLOOKUP(C652,TD!$B$33:$F$37,4,0)," ")</f>
        <v>20240207</v>
      </c>
      <c r="S652" s="302" t="s">
        <v>185</v>
      </c>
      <c r="T652" s="248" t="str">
        <f>IFERROR(VLOOKUP(S652,TD!$J$34:$K$44,2,0)," ")</f>
        <v>Infraestructura física, mantenimiento y dotación (Sedes construidas, mantenidas reforzadas)</v>
      </c>
      <c r="U652" s="296" t="str">
        <f>CONCATENATE(S652,"-",T652)</f>
        <v>08-Infraestructura física, mantenimiento y dotación (Sedes construidas, mantenidas reforzadas)</v>
      </c>
      <c r="V652" s="51" t="s">
        <v>238</v>
      </c>
      <c r="W652" s="248" t="str">
        <f>IFERROR(VLOOKUP(V652,TD!$N$34:$O$46,2,0)," ")</f>
        <v>Sedes mantenidas</v>
      </c>
      <c r="X652" s="296" t="str">
        <f>CONCATENATE(V652,"_",W652)</f>
        <v>016_Sedes mantenidas</v>
      </c>
      <c r="Y652" s="296" t="str">
        <f>CONCATENATE(U652," ",X652)</f>
        <v>08-Infraestructura física, mantenimiento y dotación (Sedes construidas, mantenidas reforzadas) 016_Sedes mantenidas</v>
      </c>
      <c r="Z652" s="300" t="str">
        <f>CONCATENATE(P652,Q652,R652,S652,V652)</f>
        <v>O23011745992024020708016</v>
      </c>
      <c r="AA652" s="300" t="str">
        <f>IFERROR(VLOOKUP(Y652,TD!$K$47:$L$65,2,0)," ")</f>
        <v>PM/0131/0108/45990160207</v>
      </c>
      <c r="AB652" s="131" t="s">
        <v>102</v>
      </c>
      <c r="AC652" s="250" t="s">
        <v>204</v>
      </c>
    </row>
    <row r="653" spans="2:29" ht="84" x14ac:dyDescent="0.35">
      <c r="B653" s="132">
        <v>20250733</v>
      </c>
      <c r="C653" s="133" t="s">
        <v>208</v>
      </c>
      <c r="D653" s="246" t="s">
        <v>166</v>
      </c>
      <c r="E653" s="51" t="s">
        <v>558</v>
      </c>
      <c r="F653" s="298" t="s">
        <v>973</v>
      </c>
      <c r="G653" s="298" t="s">
        <v>140</v>
      </c>
      <c r="H653" s="134" t="s">
        <v>936</v>
      </c>
      <c r="I653" s="299">
        <v>7</v>
      </c>
      <c r="J653" s="299">
        <v>1</v>
      </c>
      <c r="K653" s="135">
        <v>17</v>
      </c>
      <c r="L653" s="131">
        <f>70000000-22920000</f>
        <v>47080000</v>
      </c>
      <c r="M653" s="142" t="s">
        <v>464</v>
      </c>
      <c r="N653" s="131" t="s">
        <v>108</v>
      </c>
      <c r="O653" s="51" t="s">
        <v>218</v>
      </c>
      <c r="P653" s="300" t="str">
        <f>IFERROR(VLOOKUP(C653,TD!$B$33:$F$37,2,0)," ")</f>
        <v>O230117</v>
      </c>
      <c r="Q653" s="300" t="str">
        <f>IFERROR(VLOOKUP(C653,TD!$B$33:$F$37,3,0)," ")</f>
        <v>4599</v>
      </c>
      <c r="R653" s="300">
        <f>IFERROR(VLOOKUP(C653,TD!$B$33:$F$37,4,0)," ")</f>
        <v>20240207</v>
      </c>
      <c r="S653" s="302" t="s">
        <v>185</v>
      </c>
      <c r="T653" s="248" t="str">
        <f>IFERROR(VLOOKUP(S653,TD!$J$34:$K$44,2,0)," ")</f>
        <v>Infraestructura física, mantenimiento y dotación (Sedes construidas, mantenidas reforzadas)</v>
      </c>
      <c r="U653" s="296" t="str">
        <f>CONCATENATE(S653,"-",T653)</f>
        <v>08-Infraestructura física, mantenimiento y dotación (Sedes construidas, mantenidas reforzadas)</v>
      </c>
      <c r="V653" s="51" t="s">
        <v>238</v>
      </c>
      <c r="W653" s="248" t="str">
        <f>IFERROR(VLOOKUP(V653,TD!$N$34:$O$46,2,0)," ")</f>
        <v>Sedes mantenidas</v>
      </c>
      <c r="X653" s="296" t="str">
        <f>CONCATENATE(V653,"_",W653)</f>
        <v>016_Sedes mantenidas</v>
      </c>
      <c r="Y653" s="296" t="str">
        <f>CONCATENATE(U653," ",X653)</f>
        <v>08-Infraestructura física, mantenimiento y dotación (Sedes construidas, mantenidas reforzadas) 016_Sedes mantenidas</v>
      </c>
      <c r="Z653" s="300" t="str">
        <f>CONCATENATE(P653,Q653,R653,S653,V653)</f>
        <v>O23011745992024020708016</v>
      </c>
      <c r="AA653" s="300" t="str">
        <f>IFERROR(VLOOKUP(Y653,TD!$K$47:$L$65,2,0)," ")</f>
        <v>PM/0131/0108/45990160207</v>
      </c>
      <c r="AB653" s="131" t="s">
        <v>102</v>
      </c>
      <c r="AC653" s="250" t="s">
        <v>204</v>
      </c>
    </row>
    <row r="654" spans="2:29" ht="84" x14ac:dyDescent="0.35">
      <c r="B654" s="132">
        <v>20250734</v>
      </c>
      <c r="C654" s="133" t="s">
        <v>346</v>
      </c>
      <c r="D654" s="246" t="s">
        <v>166</v>
      </c>
      <c r="E654" s="51" t="s">
        <v>558</v>
      </c>
      <c r="F654" s="298" t="s">
        <v>559</v>
      </c>
      <c r="G654" s="298" t="s">
        <v>96</v>
      </c>
      <c r="H654" s="134" t="s">
        <v>560</v>
      </c>
      <c r="I654" s="299">
        <v>8</v>
      </c>
      <c r="J654" s="299">
        <v>4</v>
      </c>
      <c r="K654" s="135">
        <v>0</v>
      </c>
      <c r="L654" s="131">
        <v>116520528</v>
      </c>
      <c r="M654" s="142" t="s">
        <v>172</v>
      </c>
      <c r="N654" s="131" t="s">
        <v>123</v>
      </c>
      <c r="O654" s="51" t="s">
        <v>347</v>
      </c>
      <c r="P654" s="300" t="str">
        <f>IFERROR(VLOOKUP(C654,TD!$B$33:$F$37,2,0)," ")</f>
        <v>NA</v>
      </c>
      <c r="Q654" s="300" t="str">
        <f>IFERROR(VLOOKUP(C654,TD!$B$33:$F$37,3,0)," ")</f>
        <v>NA</v>
      </c>
      <c r="R654" s="300" t="str">
        <f>IFERROR(VLOOKUP(C654,TD!$B$33:$F$37,4,0)," ")</f>
        <v>NA</v>
      </c>
      <c r="S654" s="302" t="s">
        <v>406</v>
      </c>
      <c r="T654" s="248" t="str">
        <f>IFERROR(VLOOKUP(S654,TD!$J$34:$K$44,2,0)," ")</f>
        <v>N/A</v>
      </c>
      <c r="U654" s="296" t="str">
        <f>CONCATENATE(S654,"-",T654)</f>
        <v>N/A-N/A</v>
      </c>
      <c r="V654" s="51" t="s">
        <v>406</v>
      </c>
      <c r="W654" s="248" t="str">
        <f>IFERROR(VLOOKUP(V654,TD!$N$34:$O$46,2,0)," ")</f>
        <v>N/A</v>
      </c>
      <c r="X654" s="296" t="str">
        <f>CONCATENATE(V654,"_",W654)</f>
        <v>N/A_N/A</v>
      </c>
      <c r="Y654" s="296" t="str">
        <f>CONCATENATE(U654," ",X654)</f>
        <v>N/A-N/A N/A_N/A</v>
      </c>
      <c r="Z654" s="300" t="str">
        <f>CONCATENATE(P654,Q654,R654,S654,V654)</f>
        <v>NANANAN/AN/A</v>
      </c>
      <c r="AA654" s="300" t="str">
        <f>IFERROR(VLOOKUP(Y654,TD!$K$47:$L$65,2,0)," ")</f>
        <v>N/A</v>
      </c>
      <c r="AB654" s="131" t="s">
        <v>348</v>
      </c>
      <c r="AC654" s="250" t="s">
        <v>204</v>
      </c>
    </row>
    <row r="655" spans="2:29" ht="84" x14ac:dyDescent="0.35">
      <c r="B655" s="132">
        <v>20250735</v>
      </c>
      <c r="C655" s="133" t="s">
        <v>346</v>
      </c>
      <c r="D655" s="246" t="s">
        <v>166</v>
      </c>
      <c r="E655" s="51" t="s">
        <v>558</v>
      </c>
      <c r="F655" s="298" t="s">
        <v>559</v>
      </c>
      <c r="G655" s="298" t="s">
        <v>96</v>
      </c>
      <c r="H655" s="134" t="s">
        <v>560</v>
      </c>
      <c r="I655" s="299">
        <v>8</v>
      </c>
      <c r="J655" s="299">
        <v>4</v>
      </c>
      <c r="K655" s="135">
        <v>0</v>
      </c>
      <c r="L655" s="131">
        <v>166486111</v>
      </c>
      <c r="M655" s="142" t="s">
        <v>172</v>
      </c>
      <c r="N655" s="131" t="s">
        <v>123</v>
      </c>
      <c r="O655" s="51" t="s">
        <v>347</v>
      </c>
      <c r="P655" s="300" t="str">
        <f>IFERROR(VLOOKUP(C655,TD!$B$33:$F$37,2,0)," ")</f>
        <v>NA</v>
      </c>
      <c r="Q655" s="300" t="str">
        <f>IFERROR(VLOOKUP(C655,TD!$B$33:$F$37,3,0)," ")</f>
        <v>NA</v>
      </c>
      <c r="R655" s="300" t="str">
        <f>IFERROR(VLOOKUP(C655,TD!$B$33:$F$37,4,0)," ")</f>
        <v>NA</v>
      </c>
      <c r="S655" s="302" t="s">
        <v>406</v>
      </c>
      <c r="T655" s="248" t="str">
        <f>IFERROR(VLOOKUP(S655,TD!$J$34:$K$44,2,0)," ")</f>
        <v>N/A</v>
      </c>
      <c r="U655" s="296" t="str">
        <f>CONCATENATE(S655,"-",T655)</f>
        <v>N/A-N/A</v>
      </c>
      <c r="V655" s="51" t="s">
        <v>406</v>
      </c>
      <c r="W655" s="248" t="str">
        <f>IFERROR(VLOOKUP(V655,TD!$N$34:$O$46,2,0)," ")</f>
        <v>N/A</v>
      </c>
      <c r="X655" s="296" t="str">
        <f>CONCATENATE(V655,"_",W655)</f>
        <v>N/A_N/A</v>
      </c>
      <c r="Y655" s="296" t="str">
        <f>CONCATENATE(U655," ",X655)</f>
        <v>N/A-N/A N/A_N/A</v>
      </c>
      <c r="Z655" s="300" t="str">
        <f>CONCATENATE(P655,Q655,R655,S655,V655)</f>
        <v>NANANAN/AN/A</v>
      </c>
      <c r="AA655" s="300" t="str">
        <f>IFERROR(VLOOKUP(Y655,TD!$K$47:$L$65,2,0)," ")</f>
        <v>N/A</v>
      </c>
      <c r="AB655" s="131" t="s">
        <v>348</v>
      </c>
      <c r="AC655" s="250" t="s">
        <v>204</v>
      </c>
    </row>
    <row r="656" spans="2:29" ht="42" x14ac:dyDescent="0.35">
      <c r="B656" s="137">
        <v>20250736</v>
      </c>
      <c r="C656" s="138" t="s">
        <v>208</v>
      </c>
      <c r="D656" s="292" t="s">
        <v>166</v>
      </c>
      <c r="E656" s="295" t="s">
        <v>558</v>
      </c>
      <c r="F656" s="292" t="s">
        <v>941</v>
      </c>
      <c r="G656" s="292" t="s">
        <v>155</v>
      </c>
      <c r="H656" s="139" t="s">
        <v>606</v>
      </c>
      <c r="I656" s="293">
        <v>2</v>
      </c>
      <c r="J656" s="293">
        <v>6</v>
      </c>
      <c r="K656" s="140">
        <v>0</v>
      </c>
      <c r="L656" s="141">
        <v>35000000</v>
      </c>
      <c r="M656" s="158" t="s">
        <v>464</v>
      </c>
      <c r="N656" s="141" t="s">
        <v>113</v>
      </c>
      <c r="O656" s="252" t="s">
        <v>219</v>
      </c>
      <c r="P656" s="294" t="str">
        <f>IFERROR(VLOOKUP(C656,TD!$B$33:$F$37,2,0)," ")</f>
        <v>O230117</v>
      </c>
      <c r="Q656" s="294" t="str">
        <f>IFERROR(VLOOKUP(C656,TD!$B$33:$F$37,3,0)," ")</f>
        <v>4599</v>
      </c>
      <c r="R656" s="294">
        <f>IFERROR(VLOOKUP(C656,TD!$B$33:$F$37,4,0)," ")</f>
        <v>20240207</v>
      </c>
      <c r="S656" s="295" t="s">
        <v>185</v>
      </c>
      <c r="T656" s="254" t="str">
        <f>IFERROR(VLOOKUP(S656,TD!$J$34:$K$44,2,0)," ")</f>
        <v>Infraestructura física, mantenimiento y dotación (Sedes construidas, mantenidas reforzadas)</v>
      </c>
      <c r="U656" s="296" t="str">
        <f>CONCATENATE(S656,"-",T656)</f>
        <v>08-Infraestructura física, mantenimiento y dotación (Sedes construidas, mantenidas reforzadas)</v>
      </c>
      <c r="V656" s="252" t="s">
        <v>238</v>
      </c>
      <c r="W656" s="254" t="str">
        <f>IFERROR(VLOOKUP(V656,TD!$N$34:$O$46,2,0)," ")</f>
        <v>Sedes mantenidas</v>
      </c>
      <c r="X656" s="296" t="str">
        <f>CONCATENATE(V656,"_",W656)</f>
        <v>016_Sedes mantenidas</v>
      </c>
      <c r="Y656" s="296" t="str">
        <f>CONCATENATE(U656," ",X656)</f>
        <v>08-Infraestructura física, mantenimiento y dotación (Sedes construidas, mantenidas reforzadas) 016_Sedes mantenidas</v>
      </c>
      <c r="Z656" s="294" t="str">
        <f>CONCATENATE(P656,Q656,R656,S656,V656)</f>
        <v>O23011745992024020708016</v>
      </c>
      <c r="AA656" s="294" t="str">
        <f>IFERROR(VLOOKUP(Y656,TD!$K$47:$L$65,2,0)," ")</f>
        <v>PM/0131/0108/45990160207</v>
      </c>
      <c r="AB656" s="141" t="s">
        <v>138</v>
      </c>
      <c r="AC656" s="297" t="s">
        <v>204</v>
      </c>
    </row>
    <row r="657" spans="2:29" ht="56" x14ac:dyDescent="0.35">
      <c r="B657" s="132">
        <v>20250737</v>
      </c>
      <c r="C657" s="133" t="s">
        <v>346</v>
      </c>
      <c r="D657" s="298" t="s">
        <v>166</v>
      </c>
      <c r="E657" s="302" t="s">
        <v>558</v>
      </c>
      <c r="F657" s="298" t="s">
        <v>942</v>
      </c>
      <c r="G657" s="298" t="s">
        <v>157</v>
      </c>
      <c r="H657" s="134" t="s">
        <v>725</v>
      </c>
      <c r="I657" s="299">
        <v>4</v>
      </c>
      <c r="J657" s="299">
        <v>8</v>
      </c>
      <c r="K657" s="135">
        <v>0</v>
      </c>
      <c r="L657" s="131">
        <v>20500000</v>
      </c>
      <c r="M657" s="142" t="s">
        <v>172</v>
      </c>
      <c r="N657" s="131" t="s">
        <v>113</v>
      </c>
      <c r="O657" s="51" t="s">
        <v>347</v>
      </c>
      <c r="P657" s="300" t="str">
        <f>IFERROR(VLOOKUP(C657,TD!$B$33:$F$37,2,0)," ")</f>
        <v>NA</v>
      </c>
      <c r="Q657" s="300" t="str">
        <f>IFERROR(VLOOKUP(C657,TD!$B$33:$F$37,3,0)," ")</f>
        <v>NA</v>
      </c>
      <c r="R657" s="300" t="str">
        <f>IFERROR(VLOOKUP(C657,TD!$B$33:$F$37,4,0)," ")</f>
        <v>NA</v>
      </c>
      <c r="S657" s="302" t="s">
        <v>406</v>
      </c>
      <c r="T657" s="248" t="str">
        <f>IFERROR(VLOOKUP(S657,TD!$J$34:$K$44,2,0)," ")</f>
        <v>N/A</v>
      </c>
      <c r="U657" s="296" t="str">
        <f>CONCATENATE(S657,"-",T657)</f>
        <v>N/A-N/A</v>
      </c>
      <c r="V657" s="51" t="s">
        <v>406</v>
      </c>
      <c r="W657" s="248" t="str">
        <f>IFERROR(VLOOKUP(V657,TD!$N$34:$O$46,2,0)," ")</f>
        <v>N/A</v>
      </c>
      <c r="X657" s="296" t="str">
        <f>CONCATENATE(V657,"_",W657)</f>
        <v>N/A_N/A</v>
      </c>
      <c r="Y657" s="296" t="str">
        <f>CONCATENATE(U657," ",X657)</f>
        <v>N/A-N/A N/A_N/A</v>
      </c>
      <c r="Z657" s="300" t="str">
        <f>CONCATENATE(P657,Q657,R657,S657,V657)</f>
        <v>NANANAN/AN/A</v>
      </c>
      <c r="AA657" s="300" t="str">
        <f>IFERROR(VLOOKUP(Y657,TD!$K$47:$L$65,2,0)," ")</f>
        <v>N/A</v>
      </c>
      <c r="AB657" s="131" t="s">
        <v>348</v>
      </c>
      <c r="AC657" s="301" t="s">
        <v>204</v>
      </c>
    </row>
    <row r="658" spans="2:29" ht="42" x14ac:dyDescent="0.35">
      <c r="B658" s="132">
        <v>20250738</v>
      </c>
      <c r="C658" s="133" t="s">
        <v>346</v>
      </c>
      <c r="D658" s="298" t="s">
        <v>166</v>
      </c>
      <c r="E658" s="302" t="s">
        <v>558</v>
      </c>
      <c r="F658" s="298" t="s">
        <v>633</v>
      </c>
      <c r="G658" s="298" t="s">
        <v>157</v>
      </c>
      <c r="H658" s="134" t="s">
        <v>725</v>
      </c>
      <c r="I658" s="299">
        <v>3</v>
      </c>
      <c r="J658" s="299">
        <v>8</v>
      </c>
      <c r="K658" s="135">
        <v>0</v>
      </c>
      <c r="L658" s="131">
        <v>8714800</v>
      </c>
      <c r="M658" s="142" t="s">
        <v>172</v>
      </c>
      <c r="N658" s="131" t="s">
        <v>113</v>
      </c>
      <c r="O658" s="51" t="s">
        <v>347</v>
      </c>
      <c r="P658" s="300" t="str">
        <f>IFERROR(VLOOKUP(C658,TD!$B$33:$F$37,2,0)," ")</f>
        <v>NA</v>
      </c>
      <c r="Q658" s="300" t="str">
        <f>IFERROR(VLOOKUP(C658,TD!$B$33:$F$37,3,0)," ")</f>
        <v>NA</v>
      </c>
      <c r="R658" s="300" t="str">
        <f>IFERROR(VLOOKUP(C658,TD!$B$33:$F$37,4,0)," ")</f>
        <v>NA</v>
      </c>
      <c r="S658" s="302" t="s">
        <v>406</v>
      </c>
      <c r="T658" s="248" t="str">
        <f>IFERROR(VLOOKUP(S658,TD!$J$34:$K$44,2,0)," ")</f>
        <v>N/A</v>
      </c>
      <c r="U658" s="296" t="str">
        <f>CONCATENATE(S658,"-",T658)</f>
        <v>N/A-N/A</v>
      </c>
      <c r="V658" s="51" t="s">
        <v>406</v>
      </c>
      <c r="W658" s="248" t="str">
        <f>IFERROR(VLOOKUP(V658,TD!$N$34:$O$46,2,0)," ")</f>
        <v>N/A</v>
      </c>
      <c r="X658" s="296" t="str">
        <f>CONCATENATE(V658,"_",W658)</f>
        <v>N/A_N/A</v>
      </c>
      <c r="Y658" s="296" t="str">
        <f>CONCATENATE(U658," ",X658)</f>
        <v>N/A-N/A N/A_N/A</v>
      </c>
      <c r="Z658" s="300" t="str">
        <f>CONCATENATE(P658,Q658,R658,S658,V658)</f>
        <v>NANANAN/AN/A</v>
      </c>
      <c r="AA658" s="300" t="str">
        <f>IFERROR(VLOOKUP(Y658,TD!$K$47:$L$65,2,0)," ")</f>
        <v>N/A</v>
      </c>
      <c r="AB658" s="131" t="s">
        <v>348</v>
      </c>
      <c r="AC658" s="301" t="s">
        <v>204</v>
      </c>
    </row>
    <row r="659" spans="2:29" ht="56" x14ac:dyDescent="0.35">
      <c r="B659" s="132">
        <v>20250739</v>
      </c>
      <c r="C659" s="133" t="s">
        <v>346</v>
      </c>
      <c r="D659" s="298" t="s">
        <v>166</v>
      </c>
      <c r="E659" s="302" t="s">
        <v>558</v>
      </c>
      <c r="F659" s="298" t="s">
        <v>943</v>
      </c>
      <c r="G659" s="298" t="s">
        <v>137</v>
      </c>
      <c r="H659" s="134" t="s">
        <v>406</v>
      </c>
      <c r="I659" s="299" t="s">
        <v>406</v>
      </c>
      <c r="J659" s="299" t="s">
        <v>406</v>
      </c>
      <c r="K659" s="135" t="s">
        <v>406</v>
      </c>
      <c r="L659" s="131">
        <v>737336</v>
      </c>
      <c r="M659" s="142" t="s">
        <v>173</v>
      </c>
      <c r="N659" s="131" t="s">
        <v>128</v>
      </c>
      <c r="O659" s="51" t="s">
        <v>347</v>
      </c>
      <c r="P659" s="300" t="str">
        <f>IFERROR(VLOOKUP(C659,TD!$B$33:$F$37,2,0)," ")</f>
        <v>NA</v>
      </c>
      <c r="Q659" s="300" t="str">
        <f>IFERROR(VLOOKUP(C659,TD!$B$33:$F$37,3,0)," ")</f>
        <v>NA</v>
      </c>
      <c r="R659" s="300" t="str">
        <f>IFERROR(VLOOKUP(C659,TD!$B$33:$F$37,4,0)," ")</f>
        <v>NA</v>
      </c>
      <c r="S659" s="302" t="s">
        <v>406</v>
      </c>
      <c r="T659" s="248" t="str">
        <f>IFERROR(VLOOKUP(S659,TD!$J$34:$K$44,2,0)," ")</f>
        <v>N/A</v>
      </c>
      <c r="U659" s="296" t="str">
        <f>CONCATENATE(S659,"-",T659)</f>
        <v>N/A-N/A</v>
      </c>
      <c r="V659" s="51" t="s">
        <v>406</v>
      </c>
      <c r="W659" s="248" t="str">
        <f>IFERROR(VLOOKUP(V659,TD!$N$34:$O$46,2,0)," ")</f>
        <v>N/A</v>
      </c>
      <c r="X659" s="296" t="str">
        <f>CONCATENATE(V659,"_",W659)</f>
        <v>N/A_N/A</v>
      </c>
      <c r="Y659" s="296" t="str">
        <f>CONCATENATE(U659," ",X659)</f>
        <v>N/A-N/A N/A_N/A</v>
      </c>
      <c r="Z659" s="300" t="str">
        <f>CONCATENATE(P659,Q659,R659,S659,V659)</f>
        <v>NANANAN/AN/A</v>
      </c>
      <c r="AA659" s="300" t="str">
        <f>IFERROR(VLOOKUP(Y659,TD!$K$47:$L$65,2,0)," ")</f>
        <v>N/A</v>
      </c>
      <c r="AB659" s="131" t="s">
        <v>348</v>
      </c>
      <c r="AC659" s="301" t="s">
        <v>205</v>
      </c>
    </row>
    <row r="660" spans="2:29" ht="42" x14ac:dyDescent="0.35">
      <c r="B660" s="132">
        <v>20250740</v>
      </c>
      <c r="C660" s="133" t="s">
        <v>346</v>
      </c>
      <c r="D660" s="298" t="s">
        <v>166</v>
      </c>
      <c r="E660" s="302" t="s">
        <v>558</v>
      </c>
      <c r="F660" s="298" t="s">
        <v>944</v>
      </c>
      <c r="G660" s="298" t="s">
        <v>137</v>
      </c>
      <c r="H660" s="134" t="s">
        <v>406</v>
      </c>
      <c r="I660" s="299" t="s">
        <v>406</v>
      </c>
      <c r="J660" s="299" t="s">
        <v>406</v>
      </c>
      <c r="K660" s="135" t="s">
        <v>406</v>
      </c>
      <c r="L660" s="131">
        <v>1830230</v>
      </c>
      <c r="M660" s="142" t="s">
        <v>173</v>
      </c>
      <c r="N660" s="131" t="s">
        <v>128</v>
      </c>
      <c r="O660" s="51" t="s">
        <v>347</v>
      </c>
      <c r="P660" s="300" t="str">
        <f>IFERROR(VLOOKUP(C660,TD!$B$33:$F$37,2,0)," ")</f>
        <v>NA</v>
      </c>
      <c r="Q660" s="300" t="str">
        <f>IFERROR(VLOOKUP(C660,TD!$B$33:$F$37,3,0)," ")</f>
        <v>NA</v>
      </c>
      <c r="R660" s="300" t="str">
        <f>IFERROR(VLOOKUP(C660,TD!$B$33:$F$37,4,0)," ")</f>
        <v>NA</v>
      </c>
      <c r="S660" s="302" t="s">
        <v>406</v>
      </c>
      <c r="T660" s="248" t="str">
        <f>IFERROR(VLOOKUP(S660,TD!$J$34:$K$44,2,0)," ")</f>
        <v>N/A</v>
      </c>
      <c r="U660" s="296" t="str">
        <f>CONCATENATE(S660,"-",T660)</f>
        <v>N/A-N/A</v>
      </c>
      <c r="V660" s="51" t="s">
        <v>406</v>
      </c>
      <c r="W660" s="248" t="str">
        <f>IFERROR(VLOOKUP(V660,TD!$N$34:$O$46,2,0)," ")</f>
        <v>N/A</v>
      </c>
      <c r="X660" s="296" t="str">
        <f>CONCATENATE(V660,"_",W660)</f>
        <v>N/A_N/A</v>
      </c>
      <c r="Y660" s="296" t="str">
        <f>CONCATENATE(U660," ",X660)</f>
        <v>N/A-N/A N/A_N/A</v>
      </c>
      <c r="Z660" s="300" t="str">
        <f>CONCATENATE(P660,Q660,R660,S660,V660)</f>
        <v>NANANAN/AN/A</v>
      </c>
      <c r="AA660" s="300" t="str">
        <f>IFERROR(VLOOKUP(Y660,TD!$K$47:$L$65,2,0)," ")</f>
        <v>N/A</v>
      </c>
      <c r="AB660" s="131" t="s">
        <v>348</v>
      </c>
      <c r="AC660" s="301" t="s">
        <v>205</v>
      </c>
    </row>
    <row r="661" spans="2:29" ht="56" x14ac:dyDescent="0.35">
      <c r="B661" s="132">
        <v>20250741</v>
      </c>
      <c r="C661" s="133" t="s">
        <v>346</v>
      </c>
      <c r="D661" s="298" t="s">
        <v>166</v>
      </c>
      <c r="E661" s="302" t="s">
        <v>558</v>
      </c>
      <c r="F661" s="298" t="s">
        <v>945</v>
      </c>
      <c r="G661" s="298" t="s">
        <v>137</v>
      </c>
      <c r="H661" s="134" t="s">
        <v>406</v>
      </c>
      <c r="I661" s="299" t="s">
        <v>406</v>
      </c>
      <c r="J661" s="299" t="s">
        <v>406</v>
      </c>
      <c r="K661" s="135" t="s">
        <v>406</v>
      </c>
      <c r="L661" s="131">
        <v>855310</v>
      </c>
      <c r="M661" s="142" t="s">
        <v>173</v>
      </c>
      <c r="N661" s="131" t="s">
        <v>128</v>
      </c>
      <c r="O661" s="51" t="s">
        <v>347</v>
      </c>
      <c r="P661" s="300" t="str">
        <f>IFERROR(VLOOKUP(C661,TD!$B$33:$F$37,2,0)," ")</f>
        <v>NA</v>
      </c>
      <c r="Q661" s="300" t="str">
        <f>IFERROR(VLOOKUP(C661,TD!$B$33:$F$37,3,0)," ")</f>
        <v>NA</v>
      </c>
      <c r="R661" s="300" t="str">
        <f>IFERROR(VLOOKUP(C661,TD!$B$33:$F$37,4,0)," ")</f>
        <v>NA</v>
      </c>
      <c r="S661" s="302" t="s">
        <v>406</v>
      </c>
      <c r="T661" s="248" t="str">
        <f>IFERROR(VLOOKUP(S661,TD!$J$34:$K$44,2,0)," ")</f>
        <v>N/A</v>
      </c>
      <c r="U661" s="296" t="str">
        <f>CONCATENATE(S661,"-",T661)</f>
        <v>N/A-N/A</v>
      </c>
      <c r="V661" s="51" t="s">
        <v>406</v>
      </c>
      <c r="W661" s="248" t="str">
        <f>IFERROR(VLOOKUP(V661,TD!$N$34:$O$46,2,0)," ")</f>
        <v>N/A</v>
      </c>
      <c r="X661" s="296" t="str">
        <f>CONCATENATE(V661,"_",W661)</f>
        <v>N/A_N/A</v>
      </c>
      <c r="Y661" s="296" t="str">
        <f>CONCATENATE(U661," ",X661)</f>
        <v>N/A-N/A N/A_N/A</v>
      </c>
      <c r="Z661" s="300" t="str">
        <f>CONCATENATE(P661,Q661,R661,S661,V661)</f>
        <v>NANANAN/AN/A</v>
      </c>
      <c r="AA661" s="300" t="str">
        <f>IFERROR(VLOOKUP(Y661,TD!$K$47:$L$65,2,0)," ")</f>
        <v>N/A</v>
      </c>
      <c r="AB661" s="131" t="s">
        <v>348</v>
      </c>
      <c r="AC661" s="301" t="s">
        <v>205</v>
      </c>
    </row>
    <row r="662" spans="2:29" ht="56" x14ac:dyDescent="0.35">
      <c r="B662" s="231">
        <v>20250742</v>
      </c>
      <c r="C662" s="234" t="s">
        <v>209</v>
      </c>
      <c r="D662" s="303" t="s">
        <v>167</v>
      </c>
      <c r="E662" s="304" t="s">
        <v>505</v>
      </c>
      <c r="F662" s="303" t="s">
        <v>372</v>
      </c>
      <c r="G662" s="303" t="s">
        <v>156</v>
      </c>
      <c r="H662" s="238">
        <v>80111600</v>
      </c>
      <c r="I662" s="305">
        <v>10</v>
      </c>
      <c r="J662" s="305">
        <v>2</v>
      </c>
      <c r="K662" s="240">
        <v>0</v>
      </c>
      <c r="L662" s="242">
        <v>8000000</v>
      </c>
      <c r="M662" s="245" t="s">
        <v>464</v>
      </c>
      <c r="N662" s="242" t="s">
        <v>113</v>
      </c>
      <c r="O662" s="51" t="s">
        <v>225</v>
      </c>
      <c r="P662" s="306" t="str">
        <f>IFERROR(VLOOKUP(C662,TD!$B$33:$F$37,2,0)," ")</f>
        <v>O230117</v>
      </c>
      <c r="Q662" s="306" t="str">
        <f>IFERROR(VLOOKUP(C662,TD!$B$33:$F$37,3,0)," ")</f>
        <v>4503</v>
      </c>
      <c r="R662" s="306">
        <f>IFERROR(VLOOKUP(C662,TD!$B$33:$F$37,4,0)," ")</f>
        <v>20240255</v>
      </c>
      <c r="S662" s="302" t="s">
        <v>181</v>
      </c>
      <c r="T662" s="248" t="str">
        <f>IFERROR(VLOOKUP(S662,TD!$J$34:$K$44,2,0)," ")</f>
        <v>Servicio de inspecciones técnicas realizadas</v>
      </c>
      <c r="U662" s="296" t="str">
        <f>CONCATENATE(S662,"-",T662)</f>
        <v>06-Servicio de inspecciones técnicas realizadas</v>
      </c>
      <c r="V662" s="51" t="s">
        <v>234</v>
      </c>
      <c r="W662" s="248" t="str">
        <f>IFERROR(VLOOKUP(V662,TD!$N$34:$O$46,2,0)," ")</f>
        <v>Servicio prevención y control de incendios</v>
      </c>
      <c r="X662" s="296" t="str">
        <f>CONCATENATE(V662,"_",W662)</f>
        <v>035_Servicio prevención y control de incendios</v>
      </c>
      <c r="Y662" s="296" t="str">
        <f>CONCATENATE(U662," ",X662)</f>
        <v>06-Servicio de inspecciones técnicas realizadas 035_Servicio prevención y control de incendios</v>
      </c>
      <c r="Z662" s="306" t="str">
        <f>CONCATENATE(P662,Q662,R662,S662,V662)</f>
        <v>O23011745032024025506035</v>
      </c>
      <c r="AA662" s="306" t="str">
        <f>IFERROR(VLOOKUP(Y662,TD!$K$47:$L$65,2,0)," ")</f>
        <v>PM/0131/0106/45030350255</v>
      </c>
      <c r="AB662" s="131" t="s">
        <v>138</v>
      </c>
      <c r="AC662" s="307" t="s">
        <v>204</v>
      </c>
    </row>
    <row r="663" spans="2:29" ht="84" x14ac:dyDescent="0.35">
      <c r="B663" s="137">
        <v>20250743</v>
      </c>
      <c r="C663" s="138" t="s">
        <v>209</v>
      </c>
      <c r="D663" s="292" t="s">
        <v>167</v>
      </c>
      <c r="E663" s="295" t="s">
        <v>505</v>
      </c>
      <c r="F663" s="292" t="s">
        <v>1106</v>
      </c>
      <c r="G663" s="292" t="s">
        <v>155</v>
      </c>
      <c r="H663" s="139">
        <v>80111600</v>
      </c>
      <c r="I663" s="293">
        <v>9</v>
      </c>
      <c r="J663" s="293">
        <v>4</v>
      </c>
      <c r="K663" s="140">
        <v>0</v>
      </c>
      <c r="L663" s="141">
        <v>21000000</v>
      </c>
      <c r="M663" s="158" t="s">
        <v>464</v>
      </c>
      <c r="N663" s="141" t="s">
        <v>113</v>
      </c>
      <c r="O663" s="252" t="s">
        <v>221</v>
      </c>
      <c r="P663" s="294" t="str">
        <f>IFERROR(VLOOKUP(C663,TD!$B$33:$F$37,2,0)," ")</f>
        <v>O230117</v>
      </c>
      <c r="Q663" s="294" t="str">
        <f>IFERROR(VLOOKUP(C663,TD!$B$33:$F$37,3,0)," ")</f>
        <v>4503</v>
      </c>
      <c r="R663" s="294">
        <f>IFERROR(VLOOKUP(C663,TD!$B$33:$F$37,4,0)," ")</f>
        <v>20240255</v>
      </c>
      <c r="S663" s="295" t="s">
        <v>177</v>
      </c>
      <c r="T663" s="254" t="str">
        <f>IFERROR(VLOOKUP(S663,TD!$J$34:$K$44,2,0)," ")</f>
        <v>Servicio de capacitaciones en gestión del riesgo de incendios  a la ciudadania.</v>
      </c>
      <c r="U663" s="296" t="str">
        <f>CONCATENATE(S663,"-",T663)</f>
        <v>05-Servicio de capacitaciones en gestión del riesgo de incendios  a la ciudadania.</v>
      </c>
      <c r="V663" s="252" t="s">
        <v>233</v>
      </c>
      <c r="W663" s="254" t="str">
        <f>IFERROR(VLOOKUP(V663,TD!$N$34:$O$46,2,0)," ")</f>
        <v>Servicio de educación informal</v>
      </c>
      <c r="X663" s="296" t="str">
        <f>CONCATENATE(V663,"_",W663)</f>
        <v>002_Servicio de educación informal</v>
      </c>
      <c r="Y663" s="296" t="str">
        <f>CONCATENATE(U663," ",X663)</f>
        <v>05-Servicio de capacitaciones en gestión del riesgo de incendios  a la ciudadania. 002_Servicio de educación informal</v>
      </c>
      <c r="Z663" s="294" t="str">
        <f>CONCATENATE(P663,Q663,R663,S663,V663)</f>
        <v>O23011745032024025505002</v>
      </c>
      <c r="AA663" s="294" t="str">
        <f>IFERROR(VLOOKUP(Y663,TD!$K$47:$L$65,2,0)," ")</f>
        <v>PM/0131/0105/45030020255</v>
      </c>
      <c r="AB663" s="141" t="s">
        <v>138</v>
      </c>
      <c r="AC663" s="297" t="s">
        <v>204</v>
      </c>
    </row>
    <row r="664" spans="2:29" ht="56" x14ac:dyDescent="0.35">
      <c r="B664" s="231">
        <v>20250744</v>
      </c>
      <c r="C664" s="234" t="s">
        <v>209</v>
      </c>
      <c r="D664" s="303" t="s">
        <v>167</v>
      </c>
      <c r="E664" s="304" t="s">
        <v>505</v>
      </c>
      <c r="F664" s="303" t="s">
        <v>516</v>
      </c>
      <c r="G664" s="303" t="s">
        <v>155</v>
      </c>
      <c r="H664" s="238">
        <v>80111600</v>
      </c>
      <c r="I664" s="305">
        <v>7</v>
      </c>
      <c r="J664" s="305">
        <v>6</v>
      </c>
      <c r="K664" s="240">
        <v>0</v>
      </c>
      <c r="L664" s="242">
        <v>30000000</v>
      </c>
      <c r="M664" s="245" t="s">
        <v>464</v>
      </c>
      <c r="N664" s="242" t="s">
        <v>113</v>
      </c>
      <c r="O664" s="51" t="s">
        <v>225</v>
      </c>
      <c r="P664" s="306" t="str">
        <f>IFERROR(VLOOKUP(C664,TD!$B$33:$F$37,2,0)," ")</f>
        <v>O230117</v>
      </c>
      <c r="Q664" s="306" t="str">
        <f>IFERROR(VLOOKUP(C664,TD!$B$33:$F$37,3,0)," ")</f>
        <v>4503</v>
      </c>
      <c r="R664" s="306">
        <f>IFERROR(VLOOKUP(C664,TD!$B$33:$F$37,4,0)," ")</f>
        <v>20240255</v>
      </c>
      <c r="S664" s="302" t="s">
        <v>179</v>
      </c>
      <c r="T664" s="248" t="str">
        <f>IFERROR(VLOOKUP(S664,TD!$J$34:$K$44,2,0)," ")</f>
        <v>Infraestructura Tecnológica   (Sistemas de Información y Tecnologia)</v>
      </c>
      <c r="U664" s="296" t="str">
        <f>CONCATENATE(S664,"-",T664)</f>
        <v>11-Infraestructura Tecnológica   (Sistemas de Información y Tecnologia)</v>
      </c>
      <c r="V664" s="51" t="s">
        <v>235</v>
      </c>
      <c r="W664" s="248" t="str">
        <f>IFERROR(VLOOKUP(V664,TD!$N$34:$O$46,2,0)," ")</f>
        <v>"Servicio de monitoreo y seguimiento para la gestión del riesgo"</v>
      </c>
      <c r="X664" s="296" t="str">
        <f>CONCATENATE(V664,"_",W664)</f>
        <v>018_"Servicio de monitoreo y seguimiento para la gestión del riesgo"</v>
      </c>
      <c r="Y664" s="296" t="str">
        <f>CONCATENATE(U664," ",X664)</f>
        <v>11-Infraestructura Tecnológica   (Sistemas de Información y Tecnologia) 018_"Servicio de monitoreo y seguimiento para la gestión del riesgo"</v>
      </c>
      <c r="Z664" s="306" t="str">
        <f>CONCATENATE(P664,Q664,R664,S664,V664)</f>
        <v>O23011745032024025511018</v>
      </c>
      <c r="AA664" s="306" t="str">
        <f>IFERROR(VLOOKUP(Y664,TD!$K$47:$L$65,2,0)," ")</f>
        <v>PM/0131/0111/45030180255</v>
      </c>
      <c r="AB664" s="131" t="s">
        <v>138</v>
      </c>
      <c r="AC664" s="307" t="s">
        <v>204</v>
      </c>
    </row>
    <row r="665" spans="2:29" ht="70" x14ac:dyDescent="0.35">
      <c r="B665" s="231">
        <v>20250745</v>
      </c>
      <c r="C665" s="234" t="s">
        <v>209</v>
      </c>
      <c r="D665" s="303" t="s">
        <v>167</v>
      </c>
      <c r="E665" s="304" t="s">
        <v>505</v>
      </c>
      <c r="F665" s="298" t="s">
        <v>510</v>
      </c>
      <c r="G665" s="303" t="s">
        <v>155</v>
      </c>
      <c r="H665" s="238">
        <v>80111600</v>
      </c>
      <c r="I665" s="305">
        <v>8</v>
      </c>
      <c r="J665" s="305">
        <v>5</v>
      </c>
      <c r="K665" s="240">
        <v>0</v>
      </c>
      <c r="L665" s="242">
        <v>24000000</v>
      </c>
      <c r="M665" s="245" t="s">
        <v>464</v>
      </c>
      <c r="N665" s="242" t="s">
        <v>113</v>
      </c>
      <c r="O665" s="51" t="s">
        <v>221</v>
      </c>
      <c r="P665" s="306" t="str">
        <f>IFERROR(VLOOKUP(C665,TD!$B$33:$F$37,2,0)," ")</f>
        <v>O230117</v>
      </c>
      <c r="Q665" s="306" t="str">
        <f>IFERROR(VLOOKUP(C665,TD!$B$33:$F$37,3,0)," ")</f>
        <v>4503</v>
      </c>
      <c r="R665" s="306">
        <f>IFERROR(VLOOKUP(C665,TD!$B$33:$F$37,4,0)," ")</f>
        <v>20240255</v>
      </c>
      <c r="S665" s="302" t="s">
        <v>177</v>
      </c>
      <c r="T665" s="248" t="str">
        <f>IFERROR(VLOOKUP(S665,TD!$J$34:$K$44,2,0)," ")</f>
        <v>Servicio de capacitaciones en gestión del riesgo de incendios  a la ciudadania.</v>
      </c>
      <c r="U665" s="296" t="str">
        <f>CONCATENATE(S665,"-",T665)</f>
        <v>05-Servicio de capacitaciones en gestión del riesgo de incendios  a la ciudadania.</v>
      </c>
      <c r="V665" s="51" t="s">
        <v>233</v>
      </c>
      <c r="W665" s="248" t="str">
        <f>IFERROR(VLOOKUP(V665,TD!$N$34:$O$46,2,0)," ")</f>
        <v>Servicio de educación informal</v>
      </c>
      <c r="X665" s="296" t="str">
        <f>CONCATENATE(V665,"_",W665)</f>
        <v>002_Servicio de educación informal</v>
      </c>
      <c r="Y665" s="296" t="str">
        <f>CONCATENATE(U665," ",X665)</f>
        <v>05-Servicio de capacitaciones en gestión del riesgo de incendios  a la ciudadania. 002_Servicio de educación informal</v>
      </c>
      <c r="Z665" s="306" t="str">
        <f>CONCATENATE(P665,Q665,R665,S665,V665)</f>
        <v>O23011745032024025505002</v>
      </c>
      <c r="AA665" s="306" t="str">
        <f>IFERROR(VLOOKUP(Y665,TD!$K$47:$L$65,2,0)," ")</f>
        <v>PM/0131/0105/45030020255</v>
      </c>
      <c r="AB665" s="131" t="s">
        <v>120</v>
      </c>
      <c r="AC665" s="307" t="s">
        <v>204</v>
      </c>
    </row>
    <row r="666" spans="2:29" ht="70" x14ac:dyDescent="0.35">
      <c r="B666" s="132">
        <v>20250746</v>
      </c>
      <c r="C666" s="234" t="s">
        <v>209</v>
      </c>
      <c r="D666" s="303" t="s">
        <v>167</v>
      </c>
      <c r="E666" s="304" t="s">
        <v>505</v>
      </c>
      <c r="F666" s="303" t="s">
        <v>515</v>
      </c>
      <c r="G666" s="303" t="s">
        <v>155</v>
      </c>
      <c r="H666" s="238">
        <v>80111600</v>
      </c>
      <c r="I666" s="305">
        <v>6</v>
      </c>
      <c r="J666" s="305">
        <v>6</v>
      </c>
      <c r="K666" s="240">
        <v>0</v>
      </c>
      <c r="L666" s="242">
        <v>54000000</v>
      </c>
      <c r="M666" s="245" t="s">
        <v>464</v>
      </c>
      <c r="N666" s="242" t="s">
        <v>113</v>
      </c>
      <c r="O666" s="51" t="s">
        <v>225</v>
      </c>
      <c r="P666" s="306" t="str">
        <f>IFERROR(VLOOKUP(C666,TD!$B$33:$F$37,2,0)," ")</f>
        <v>O230117</v>
      </c>
      <c r="Q666" s="306" t="str">
        <f>IFERROR(VLOOKUP(C666,TD!$B$33:$F$37,3,0)," ")</f>
        <v>4503</v>
      </c>
      <c r="R666" s="306">
        <f>IFERROR(VLOOKUP(C666,TD!$B$33:$F$37,4,0)," ")</f>
        <v>20240255</v>
      </c>
      <c r="S666" s="302" t="s">
        <v>179</v>
      </c>
      <c r="T666" s="248" t="str">
        <f>IFERROR(VLOOKUP(S666,TD!$J$34:$K$44,2,0)," ")</f>
        <v>Infraestructura Tecnológica   (Sistemas de Información y Tecnologia)</v>
      </c>
      <c r="U666" s="296" t="str">
        <f>CONCATENATE(S666,"-",T666)</f>
        <v>11-Infraestructura Tecnológica   (Sistemas de Información y Tecnologia)</v>
      </c>
      <c r="V666" s="51" t="s">
        <v>235</v>
      </c>
      <c r="W666" s="248" t="str">
        <f>IFERROR(VLOOKUP(V666,TD!$N$34:$O$46,2,0)," ")</f>
        <v>"Servicio de monitoreo y seguimiento para la gestión del riesgo"</v>
      </c>
      <c r="X666" s="296" t="str">
        <f>CONCATENATE(V666,"_",W666)</f>
        <v>018_"Servicio de monitoreo y seguimiento para la gestión del riesgo"</v>
      </c>
      <c r="Y666" s="296" t="str">
        <f>CONCATENATE(U666," ",X666)</f>
        <v>11-Infraestructura Tecnológica   (Sistemas de Información y Tecnologia) 018_"Servicio de monitoreo y seguimiento para la gestión del riesgo"</v>
      </c>
      <c r="Z666" s="306" t="str">
        <f>CONCATENATE(P666,Q666,R666,S666,V666)</f>
        <v>O23011745032024025511018</v>
      </c>
      <c r="AA666" s="306" t="str">
        <f>IFERROR(VLOOKUP(Y666,TD!$K$47:$L$65,2,0)," ")</f>
        <v>PM/0131/0111/45030180255</v>
      </c>
      <c r="AB666" s="131" t="s">
        <v>138</v>
      </c>
      <c r="AC666" s="307" t="s">
        <v>204</v>
      </c>
    </row>
    <row r="667" spans="2:29" ht="70" x14ac:dyDescent="0.35">
      <c r="B667" s="132">
        <v>20250747</v>
      </c>
      <c r="C667" s="234" t="s">
        <v>209</v>
      </c>
      <c r="D667" s="303" t="s">
        <v>167</v>
      </c>
      <c r="E667" s="304" t="s">
        <v>505</v>
      </c>
      <c r="F667" s="298" t="s">
        <v>372</v>
      </c>
      <c r="G667" s="303" t="s">
        <v>156</v>
      </c>
      <c r="H667" s="238">
        <v>80111600</v>
      </c>
      <c r="I667" s="305">
        <v>10</v>
      </c>
      <c r="J667" s="305">
        <v>2</v>
      </c>
      <c r="K667" s="240">
        <v>0</v>
      </c>
      <c r="L667" s="242">
        <v>8000000</v>
      </c>
      <c r="M667" s="245" t="s">
        <v>464</v>
      </c>
      <c r="N667" s="242" t="s">
        <v>113</v>
      </c>
      <c r="O667" s="51" t="s">
        <v>221</v>
      </c>
      <c r="P667" s="306" t="str">
        <f>IFERROR(VLOOKUP(C667,TD!$B$33:$F$37,2,0)," ")</f>
        <v>O230117</v>
      </c>
      <c r="Q667" s="306" t="str">
        <f>IFERROR(VLOOKUP(C667,TD!$B$33:$F$37,3,0)," ")</f>
        <v>4503</v>
      </c>
      <c r="R667" s="306">
        <f>IFERROR(VLOOKUP(C667,TD!$B$33:$F$37,4,0)," ")</f>
        <v>20240255</v>
      </c>
      <c r="S667" s="302" t="s">
        <v>181</v>
      </c>
      <c r="T667" s="248" t="str">
        <f>IFERROR(VLOOKUP(S667,TD!$J$34:$K$44,2,0)," ")</f>
        <v>Servicio de inspecciones técnicas realizadas</v>
      </c>
      <c r="U667" s="296" t="str">
        <f>CONCATENATE(S667,"-",T667)</f>
        <v>06-Servicio de inspecciones técnicas realizadas</v>
      </c>
      <c r="V667" s="51" t="s">
        <v>234</v>
      </c>
      <c r="W667" s="248" t="str">
        <f>IFERROR(VLOOKUP(V667,TD!$N$34:$O$46,2,0)," ")</f>
        <v>Servicio prevención y control de incendios</v>
      </c>
      <c r="X667" s="296" t="str">
        <f>CONCATENATE(V667,"_",W667)</f>
        <v>035_Servicio prevención y control de incendios</v>
      </c>
      <c r="Y667" s="296" t="str">
        <f>CONCATENATE(U667," ",X667)</f>
        <v>06-Servicio de inspecciones técnicas realizadas 035_Servicio prevención y control de incendios</v>
      </c>
      <c r="Z667" s="306" t="str">
        <f>CONCATENATE(P667,Q667,R667,S667,V667)</f>
        <v>O23011745032024025506035</v>
      </c>
      <c r="AA667" s="306" t="str">
        <f>IFERROR(VLOOKUP(Y667,TD!$K$47:$L$65,2,0)," ")</f>
        <v>PM/0131/0106/45030350255</v>
      </c>
      <c r="AB667" s="131" t="s">
        <v>138</v>
      </c>
      <c r="AC667" s="307" t="s">
        <v>204</v>
      </c>
    </row>
    <row r="668" spans="2:29" ht="84" x14ac:dyDescent="0.35">
      <c r="B668" s="137">
        <v>20250749</v>
      </c>
      <c r="C668" s="138" t="s">
        <v>208</v>
      </c>
      <c r="D668" s="292" t="s">
        <v>162</v>
      </c>
      <c r="E668" s="295" t="s">
        <v>355</v>
      </c>
      <c r="F668" s="292" t="s">
        <v>408</v>
      </c>
      <c r="G668" s="292" t="s">
        <v>155</v>
      </c>
      <c r="H668" s="139">
        <v>80111600</v>
      </c>
      <c r="I668" s="293">
        <v>2</v>
      </c>
      <c r="J668" s="293">
        <v>11</v>
      </c>
      <c r="K668" s="140">
        <v>0</v>
      </c>
      <c r="L668" s="141">
        <v>37250000</v>
      </c>
      <c r="M668" s="158" t="s">
        <v>464</v>
      </c>
      <c r="N668" s="141" t="s">
        <v>113</v>
      </c>
      <c r="O668" s="252" t="s">
        <v>214</v>
      </c>
      <c r="P668" s="294" t="str">
        <f>IFERROR(VLOOKUP(C668,TD!$B$33:$F$37,2,0)," ")</f>
        <v>O230117</v>
      </c>
      <c r="Q668" s="294" t="str">
        <f>IFERROR(VLOOKUP(C668,TD!$B$33:$F$37,3,0)," ")</f>
        <v>4599</v>
      </c>
      <c r="R668" s="294">
        <f>IFERROR(VLOOKUP(C668,TD!$B$33:$F$37,4,0)," ")</f>
        <v>20240207</v>
      </c>
      <c r="S668" s="295" t="s">
        <v>179</v>
      </c>
      <c r="T668" s="254" t="str">
        <f>IFERROR(VLOOKUP(S668,TD!$J$34:$K$44,2,0)," ")</f>
        <v>Infraestructura Tecnológica   (Sistemas de Información y Tecnologia)</v>
      </c>
      <c r="U668" s="296" t="str">
        <f>CONCATENATE(S668,"-",T668)</f>
        <v>11-Infraestructura Tecnológica   (Sistemas de Información y Tecnologia)</v>
      </c>
      <c r="V668" s="252" t="s">
        <v>239</v>
      </c>
      <c r="W668" s="254" t="str">
        <f>IFERROR(VLOOKUP(V668,TD!$N$34:$O$46,2,0)," ")</f>
        <v>Servicios tecnológicos</v>
      </c>
      <c r="X668" s="296" t="str">
        <f>CONCATENATE(V668,"_",W668)</f>
        <v>007_Servicios tecnológicos</v>
      </c>
      <c r="Y668" s="296" t="str">
        <f>CONCATENATE(U668," ",X668)</f>
        <v>11-Infraestructura Tecnológica   (Sistemas de Información y Tecnologia) 007_Servicios tecnológicos</v>
      </c>
      <c r="Z668" s="294" t="str">
        <f>CONCATENATE(P668,Q668,R668,S668,V668)</f>
        <v>O23011745992024020711007</v>
      </c>
      <c r="AA668" s="294" t="str">
        <f>IFERROR(VLOOKUP(Y668,TD!$K$47:$L$65,2,0)," ")</f>
        <v>PM/0131/0111/45990070207</v>
      </c>
      <c r="AB668" s="141" t="s">
        <v>138</v>
      </c>
      <c r="AC668" s="297" t="s">
        <v>204</v>
      </c>
    </row>
    <row r="669" spans="2:29" ht="84" x14ac:dyDescent="0.35">
      <c r="B669" s="137">
        <v>20250750</v>
      </c>
      <c r="C669" s="138" t="s">
        <v>208</v>
      </c>
      <c r="D669" s="292" t="s">
        <v>162</v>
      </c>
      <c r="E669" s="295" t="s">
        <v>355</v>
      </c>
      <c r="F669" s="292" t="s">
        <v>789</v>
      </c>
      <c r="G669" s="292" t="s">
        <v>155</v>
      </c>
      <c r="H669" s="139">
        <v>80111600</v>
      </c>
      <c r="I669" s="293">
        <v>2</v>
      </c>
      <c r="J669" s="293">
        <v>11</v>
      </c>
      <c r="K669" s="140">
        <v>0</v>
      </c>
      <c r="L669" s="141">
        <v>47500000</v>
      </c>
      <c r="M669" s="158" t="s">
        <v>464</v>
      </c>
      <c r="N669" s="141" t="s">
        <v>113</v>
      </c>
      <c r="O669" s="252" t="s">
        <v>215</v>
      </c>
      <c r="P669" s="294" t="str">
        <f>IFERROR(VLOOKUP(C669,TD!$B$33:$F$37,2,0)," ")</f>
        <v>O230117</v>
      </c>
      <c r="Q669" s="294" t="str">
        <f>IFERROR(VLOOKUP(C669,TD!$B$33:$F$37,3,0)," ")</f>
        <v>4599</v>
      </c>
      <c r="R669" s="294">
        <f>IFERROR(VLOOKUP(C669,TD!$B$33:$F$37,4,0)," ")</f>
        <v>20240207</v>
      </c>
      <c r="S669" s="295" t="s">
        <v>179</v>
      </c>
      <c r="T669" s="254" t="str">
        <f>IFERROR(VLOOKUP(S669,TD!$J$34:$K$44,2,0)," ")</f>
        <v>Infraestructura Tecnológica   (Sistemas de Información y Tecnologia)</v>
      </c>
      <c r="U669" s="296" t="str">
        <f>CONCATENATE(S669,"-",T669)</f>
        <v>11-Infraestructura Tecnológica   (Sistemas de Información y Tecnologia)</v>
      </c>
      <c r="V669" s="252" t="s">
        <v>239</v>
      </c>
      <c r="W669" s="254" t="str">
        <f>IFERROR(VLOOKUP(V669,TD!$N$34:$O$46,2,0)," ")</f>
        <v>Servicios tecnológicos</v>
      </c>
      <c r="X669" s="296" t="str">
        <f>CONCATENATE(V669,"_",W669)</f>
        <v>007_Servicios tecnológicos</v>
      </c>
      <c r="Y669" s="296" t="str">
        <f>CONCATENATE(U669," ",X669)</f>
        <v>11-Infraestructura Tecnológica   (Sistemas de Información y Tecnologia) 007_Servicios tecnológicos</v>
      </c>
      <c r="Z669" s="294" t="str">
        <f>CONCATENATE(P669,Q669,R669,S669,V669)</f>
        <v>O23011745992024020711007</v>
      </c>
      <c r="AA669" s="294" t="str">
        <f>IFERROR(VLOOKUP(Y669,TD!$K$47:$L$65,2,0)," ")</f>
        <v>PM/0131/0111/45990070207</v>
      </c>
      <c r="AB669" s="141" t="s">
        <v>120</v>
      </c>
      <c r="AC669" s="297" t="s">
        <v>204</v>
      </c>
    </row>
    <row r="670" spans="2:29" ht="98" x14ac:dyDescent="0.35">
      <c r="B670" s="137">
        <v>20250751</v>
      </c>
      <c r="C670" s="138" t="s">
        <v>208</v>
      </c>
      <c r="D670" s="292" t="s">
        <v>162</v>
      </c>
      <c r="E670" s="295" t="s">
        <v>355</v>
      </c>
      <c r="F670" s="292" t="s">
        <v>409</v>
      </c>
      <c r="G670" s="292" t="s">
        <v>155</v>
      </c>
      <c r="H670" s="139">
        <v>80111600</v>
      </c>
      <c r="I670" s="293">
        <v>2</v>
      </c>
      <c r="J670" s="293">
        <v>11</v>
      </c>
      <c r="K670" s="140">
        <v>0</v>
      </c>
      <c r="L670" s="141">
        <v>33672000</v>
      </c>
      <c r="M670" s="158" t="s">
        <v>464</v>
      </c>
      <c r="N670" s="141" t="s">
        <v>113</v>
      </c>
      <c r="O670" s="252" t="s">
        <v>215</v>
      </c>
      <c r="P670" s="294" t="str">
        <f>IFERROR(VLOOKUP(C670,TD!$B$33:$F$37,2,0)," ")</f>
        <v>O230117</v>
      </c>
      <c r="Q670" s="294" t="str">
        <f>IFERROR(VLOOKUP(C670,TD!$B$33:$F$37,3,0)," ")</f>
        <v>4599</v>
      </c>
      <c r="R670" s="294">
        <f>IFERROR(VLOOKUP(C670,TD!$B$33:$F$37,4,0)," ")</f>
        <v>20240207</v>
      </c>
      <c r="S670" s="295" t="s">
        <v>179</v>
      </c>
      <c r="T670" s="254" t="str">
        <f>IFERROR(VLOOKUP(S670,TD!$J$34:$K$44,2,0)," ")</f>
        <v>Infraestructura Tecnológica   (Sistemas de Información y Tecnologia)</v>
      </c>
      <c r="U670" s="296" t="str">
        <f>CONCATENATE(S670,"-",T670)</f>
        <v>11-Infraestructura Tecnológica   (Sistemas de Información y Tecnologia)</v>
      </c>
      <c r="V670" s="252" t="s">
        <v>239</v>
      </c>
      <c r="W670" s="254" t="str">
        <f>IFERROR(VLOOKUP(V670,TD!$N$34:$O$46,2,0)," ")</f>
        <v>Servicios tecnológicos</v>
      </c>
      <c r="X670" s="296" t="str">
        <f>CONCATENATE(V670,"_",W670)</f>
        <v>007_Servicios tecnológicos</v>
      </c>
      <c r="Y670" s="296" t="str">
        <f>CONCATENATE(U670," ",X670)</f>
        <v>11-Infraestructura Tecnológica   (Sistemas de Información y Tecnologia) 007_Servicios tecnológicos</v>
      </c>
      <c r="Z670" s="294" t="str">
        <f>CONCATENATE(P670,Q670,R670,S670,V670)</f>
        <v>O23011745992024020711007</v>
      </c>
      <c r="AA670" s="294" t="str">
        <f>IFERROR(VLOOKUP(Y670,TD!$K$47:$L$65,2,0)," ")</f>
        <v>PM/0131/0111/45990070207</v>
      </c>
      <c r="AB670" s="141" t="s">
        <v>138</v>
      </c>
      <c r="AC670" s="297" t="s">
        <v>204</v>
      </c>
    </row>
    <row r="671" spans="2:29" ht="70" x14ac:dyDescent="0.35">
      <c r="B671" s="137">
        <v>20250752</v>
      </c>
      <c r="C671" s="138" t="s">
        <v>208</v>
      </c>
      <c r="D671" s="292" t="s">
        <v>162</v>
      </c>
      <c r="E671" s="295" t="s">
        <v>355</v>
      </c>
      <c r="F671" s="292" t="s">
        <v>768</v>
      </c>
      <c r="G671" s="292" t="s">
        <v>155</v>
      </c>
      <c r="H671" s="139">
        <v>80111600</v>
      </c>
      <c r="I671" s="293">
        <v>2</v>
      </c>
      <c r="J671" s="293">
        <v>11</v>
      </c>
      <c r="K671" s="140">
        <v>0</v>
      </c>
      <c r="L671" s="141">
        <v>39780000</v>
      </c>
      <c r="M671" s="158" t="s">
        <v>464</v>
      </c>
      <c r="N671" s="141" t="s">
        <v>113</v>
      </c>
      <c r="O671" s="252" t="s">
        <v>215</v>
      </c>
      <c r="P671" s="294" t="str">
        <f>IFERROR(VLOOKUP(C671,TD!$B$33:$F$37,2,0)," ")</f>
        <v>O230117</v>
      </c>
      <c r="Q671" s="294" t="str">
        <f>IFERROR(VLOOKUP(C671,TD!$B$33:$F$37,3,0)," ")</f>
        <v>4599</v>
      </c>
      <c r="R671" s="294">
        <f>IFERROR(VLOOKUP(C671,TD!$B$33:$F$37,4,0)," ")</f>
        <v>20240207</v>
      </c>
      <c r="S671" s="295" t="s">
        <v>179</v>
      </c>
      <c r="T671" s="254" t="str">
        <f>IFERROR(VLOOKUP(S671,TD!$J$34:$K$44,2,0)," ")</f>
        <v>Infraestructura Tecnológica   (Sistemas de Información y Tecnologia)</v>
      </c>
      <c r="U671" s="296" t="str">
        <f>CONCATENATE(S671,"-",T671)</f>
        <v>11-Infraestructura Tecnológica   (Sistemas de Información y Tecnologia)</v>
      </c>
      <c r="V671" s="252" t="s">
        <v>239</v>
      </c>
      <c r="W671" s="254" t="str">
        <f>IFERROR(VLOOKUP(V671,TD!$N$34:$O$46,2,0)," ")</f>
        <v>Servicios tecnológicos</v>
      </c>
      <c r="X671" s="296" t="str">
        <f>CONCATENATE(V671,"_",W671)</f>
        <v>007_Servicios tecnológicos</v>
      </c>
      <c r="Y671" s="296" t="str">
        <f>CONCATENATE(U671," ",X671)</f>
        <v>11-Infraestructura Tecnológica   (Sistemas de Información y Tecnologia) 007_Servicios tecnológicos</v>
      </c>
      <c r="Z671" s="294" t="str">
        <f>CONCATENATE(P671,Q671,R671,S671,V671)</f>
        <v>O23011745992024020711007</v>
      </c>
      <c r="AA671" s="294" t="str">
        <f>IFERROR(VLOOKUP(Y671,TD!$K$47:$L$65,2,0)," ")</f>
        <v>PM/0131/0111/45990070207</v>
      </c>
      <c r="AB671" s="141" t="s">
        <v>120</v>
      </c>
      <c r="AC671" s="297" t="s">
        <v>204</v>
      </c>
    </row>
    <row r="672" spans="2:29" ht="56" x14ac:dyDescent="0.35">
      <c r="B672" s="137">
        <v>20250753</v>
      </c>
      <c r="C672" s="138" t="s">
        <v>208</v>
      </c>
      <c r="D672" s="292" t="s">
        <v>162</v>
      </c>
      <c r="E672" s="295" t="s">
        <v>355</v>
      </c>
      <c r="F672" s="292" t="s">
        <v>771</v>
      </c>
      <c r="G672" s="292" t="s">
        <v>155</v>
      </c>
      <c r="H672" s="139">
        <v>80111600</v>
      </c>
      <c r="I672" s="293">
        <v>2</v>
      </c>
      <c r="J672" s="293">
        <v>11</v>
      </c>
      <c r="K672" s="140">
        <v>0</v>
      </c>
      <c r="L672" s="141">
        <v>22350000</v>
      </c>
      <c r="M672" s="158" t="s">
        <v>464</v>
      </c>
      <c r="N672" s="141" t="s">
        <v>113</v>
      </c>
      <c r="O672" s="252" t="s">
        <v>214</v>
      </c>
      <c r="P672" s="294" t="str">
        <f>IFERROR(VLOOKUP(C672,TD!$B$33:$F$37,2,0)," ")</f>
        <v>O230117</v>
      </c>
      <c r="Q672" s="294" t="str">
        <f>IFERROR(VLOOKUP(C672,TD!$B$33:$F$37,3,0)," ")</f>
        <v>4599</v>
      </c>
      <c r="R672" s="294">
        <f>IFERROR(VLOOKUP(C672,TD!$B$33:$F$37,4,0)," ")</f>
        <v>20240207</v>
      </c>
      <c r="S672" s="295" t="s">
        <v>179</v>
      </c>
      <c r="T672" s="254" t="str">
        <f>IFERROR(VLOOKUP(S672,TD!$J$34:$K$44,2,0)," ")</f>
        <v>Infraestructura Tecnológica   (Sistemas de Información y Tecnologia)</v>
      </c>
      <c r="U672" s="296" t="str">
        <f>CONCATENATE(S672,"-",T672)</f>
        <v>11-Infraestructura Tecnológica   (Sistemas de Información y Tecnologia)</v>
      </c>
      <c r="V672" s="252" t="s">
        <v>239</v>
      </c>
      <c r="W672" s="254" t="str">
        <f>IFERROR(VLOOKUP(V672,TD!$N$34:$O$46,2,0)," ")</f>
        <v>Servicios tecnológicos</v>
      </c>
      <c r="X672" s="296" t="str">
        <f>CONCATENATE(V672,"_",W672)</f>
        <v>007_Servicios tecnológicos</v>
      </c>
      <c r="Y672" s="296" t="str">
        <f>CONCATENATE(U672," ",X672)</f>
        <v>11-Infraestructura Tecnológica   (Sistemas de Información y Tecnologia) 007_Servicios tecnológicos</v>
      </c>
      <c r="Z672" s="294" t="str">
        <f>CONCATENATE(P672,Q672,R672,S672,V672)</f>
        <v>O23011745992024020711007</v>
      </c>
      <c r="AA672" s="294" t="str">
        <f>IFERROR(VLOOKUP(Y672,TD!$K$47:$L$65,2,0)," ")</f>
        <v>PM/0131/0111/45990070207</v>
      </c>
      <c r="AB672" s="141" t="s">
        <v>138</v>
      </c>
      <c r="AC672" s="297" t="s">
        <v>204</v>
      </c>
    </row>
    <row r="673" spans="2:29" ht="70" x14ac:dyDescent="0.35">
      <c r="B673" s="137">
        <v>20250754</v>
      </c>
      <c r="C673" s="138" t="s">
        <v>208</v>
      </c>
      <c r="D673" s="292" t="s">
        <v>162</v>
      </c>
      <c r="E673" s="295" t="s">
        <v>355</v>
      </c>
      <c r="F673" s="292" t="s">
        <v>790</v>
      </c>
      <c r="G673" s="292" t="s">
        <v>155</v>
      </c>
      <c r="H673" s="139">
        <v>80111600</v>
      </c>
      <c r="I673" s="293">
        <v>2</v>
      </c>
      <c r="J673" s="293">
        <v>11</v>
      </c>
      <c r="K673" s="140">
        <v>0</v>
      </c>
      <c r="L673" s="141">
        <v>32500000</v>
      </c>
      <c r="M673" s="158" t="s">
        <v>464</v>
      </c>
      <c r="N673" s="141" t="s">
        <v>113</v>
      </c>
      <c r="O673" s="252" t="s">
        <v>215</v>
      </c>
      <c r="P673" s="294" t="str">
        <f>IFERROR(VLOOKUP(C673,TD!$B$33:$F$37,2,0)," ")</f>
        <v>O230117</v>
      </c>
      <c r="Q673" s="294" t="str">
        <f>IFERROR(VLOOKUP(C673,TD!$B$33:$F$37,3,0)," ")</f>
        <v>4599</v>
      </c>
      <c r="R673" s="294">
        <f>IFERROR(VLOOKUP(C673,TD!$B$33:$F$37,4,0)," ")</f>
        <v>20240207</v>
      </c>
      <c r="S673" s="295" t="s">
        <v>179</v>
      </c>
      <c r="T673" s="254" t="str">
        <f>IFERROR(VLOOKUP(S673,TD!$J$34:$K$44,2,0)," ")</f>
        <v>Infraestructura Tecnológica   (Sistemas de Información y Tecnologia)</v>
      </c>
      <c r="U673" s="296" t="str">
        <f>CONCATENATE(S673,"-",T673)</f>
        <v>11-Infraestructura Tecnológica   (Sistemas de Información y Tecnologia)</v>
      </c>
      <c r="V673" s="252" t="s">
        <v>239</v>
      </c>
      <c r="W673" s="254" t="str">
        <f>IFERROR(VLOOKUP(V673,TD!$N$34:$O$46,2,0)," ")</f>
        <v>Servicios tecnológicos</v>
      </c>
      <c r="X673" s="296" t="str">
        <f>CONCATENATE(V673,"_",W673)</f>
        <v>007_Servicios tecnológicos</v>
      </c>
      <c r="Y673" s="296" t="str">
        <f>CONCATENATE(U673," ",X673)</f>
        <v>11-Infraestructura Tecnológica   (Sistemas de Información y Tecnologia) 007_Servicios tecnológicos</v>
      </c>
      <c r="Z673" s="294" t="str">
        <f>CONCATENATE(P673,Q673,R673,S673,V673)</f>
        <v>O23011745992024020711007</v>
      </c>
      <c r="AA673" s="294" t="str">
        <f>IFERROR(VLOOKUP(Y673,TD!$K$47:$L$65,2,0)," ")</f>
        <v>PM/0131/0111/45990070207</v>
      </c>
      <c r="AB673" s="141" t="s">
        <v>120</v>
      </c>
      <c r="AC673" s="297" t="s">
        <v>204</v>
      </c>
    </row>
    <row r="674" spans="2:29" ht="70" x14ac:dyDescent="0.35">
      <c r="B674" s="137">
        <v>20250755</v>
      </c>
      <c r="C674" s="138" t="s">
        <v>208</v>
      </c>
      <c r="D674" s="292" t="s">
        <v>162</v>
      </c>
      <c r="E674" s="295" t="s">
        <v>355</v>
      </c>
      <c r="F674" s="292" t="s">
        <v>773</v>
      </c>
      <c r="G674" s="292" t="s">
        <v>155</v>
      </c>
      <c r="H674" s="139">
        <v>80111600</v>
      </c>
      <c r="I674" s="293">
        <v>2</v>
      </c>
      <c r="J674" s="293">
        <v>11</v>
      </c>
      <c r="K674" s="140">
        <v>0</v>
      </c>
      <c r="L674" s="141">
        <v>37001667</v>
      </c>
      <c r="M674" s="158" t="s">
        <v>464</v>
      </c>
      <c r="N674" s="141" t="s">
        <v>113</v>
      </c>
      <c r="O674" s="252" t="s">
        <v>215</v>
      </c>
      <c r="P674" s="294" t="str">
        <f>IFERROR(VLOOKUP(C674,TD!$B$33:$F$37,2,0)," ")</f>
        <v>O230117</v>
      </c>
      <c r="Q674" s="294" t="str">
        <f>IFERROR(VLOOKUP(C674,TD!$B$33:$F$37,3,0)," ")</f>
        <v>4599</v>
      </c>
      <c r="R674" s="294">
        <f>IFERROR(VLOOKUP(C674,TD!$B$33:$F$37,4,0)," ")</f>
        <v>20240207</v>
      </c>
      <c r="S674" s="295" t="s">
        <v>179</v>
      </c>
      <c r="T674" s="254" t="str">
        <f>IFERROR(VLOOKUP(S674,TD!$J$34:$K$44,2,0)," ")</f>
        <v>Infraestructura Tecnológica   (Sistemas de Información y Tecnologia)</v>
      </c>
      <c r="U674" s="296" t="str">
        <f>CONCATENATE(S674,"-",T674)</f>
        <v>11-Infraestructura Tecnológica   (Sistemas de Información y Tecnologia)</v>
      </c>
      <c r="V674" s="252" t="s">
        <v>239</v>
      </c>
      <c r="W674" s="254" t="str">
        <f>IFERROR(VLOOKUP(V674,TD!$N$34:$O$46,2,0)," ")</f>
        <v>Servicios tecnológicos</v>
      </c>
      <c r="X674" s="296" t="str">
        <f>CONCATENATE(V674,"_",W674)</f>
        <v>007_Servicios tecnológicos</v>
      </c>
      <c r="Y674" s="296" t="str">
        <f>CONCATENATE(U674," ",X674)</f>
        <v>11-Infraestructura Tecnológica   (Sistemas de Información y Tecnologia) 007_Servicios tecnológicos</v>
      </c>
      <c r="Z674" s="294" t="str">
        <f>CONCATENATE(P674,Q674,R674,S674,V674)</f>
        <v>O23011745992024020711007</v>
      </c>
      <c r="AA674" s="294" t="str">
        <f>IFERROR(VLOOKUP(Y674,TD!$K$47:$L$65,2,0)," ")</f>
        <v>PM/0131/0111/45990070207</v>
      </c>
      <c r="AB674" s="141" t="s">
        <v>138</v>
      </c>
      <c r="AC674" s="297" t="s">
        <v>204</v>
      </c>
    </row>
    <row r="675" spans="2:29" ht="70" x14ac:dyDescent="0.35">
      <c r="B675" s="137">
        <v>20250756</v>
      </c>
      <c r="C675" s="138" t="s">
        <v>208</v>
      </c>
      <c r="D675" s="292" t="s">
        <v>162</v>
      </c>
      <c r="E675" s="295" t="s">
        <v>355</v>
      </c>
      <c r="F675" s="292" t="s">
        <v>802</v>
      </c>
      <c r="G675" s="292" t="s">
        <v>155</v>
      </c>
      <c r="H675" s="139">
        <v>80111600</v>
      </c>
      <c r="I675" s="293">
        <v>2</v>
      </c>
      <c r="J675" s="293">
        <v>5</v>
      </c>
      <c r="K675" s="140">
        <v>0</v>
      </c>
      <c r="L675" s="141">
        <v>28000000</v>
      </c>
      <c r="M675" s="158" t="s">
        <v>464</v>
      </c>
      <c r="N675" s="141" t="s">
        <v>113</v>
      </c>
      <c r="O675" s="252" t="s">
        <v>214</v>
      </c>
      <c r="P675" s="294" t="str">
        <f>IFERROR(VLOOKUP(C675,TD!$B$33:$F$37,2,0)," ")</f>
        <v>O230117</v>
      </c>
      <c r="Q675" s="294" t="str">
        <f>IFERROR(VLOOKUP(C675,TD!$B$33:$F$37,3,0)," ")</f>
        <v>4599</v>
      </c>
      <c r="R675" s="294">
        <f>IFERROR(VLOOKUP(C675,TD!$B$33:$F$37,4,0)," ")</f>
        <v>20240207</v>
      </c>
      <c r="S675" s="295" t="s">
        <v>179</v>
      </c>
      <c r="T675" s="254" t="str">
        <f>IFERROR(VLOOKUP(S675,TD!$J$34:$K$44,2,0)," ")</f>
        <v>Infraestructura Tecnológica   (Sistemas de Información y Tecnologia)</v>
      </c>
      <c r="U675" s="296" t="str">
        <f>CONCATENATE(S675,"-",T675)</f>
        <v>11-Infraestructura Tecnológica   (Sistemas de Información y Tecnologia)</v>
      </c>
      <c r="V675" s="252" t="s">
        <v>239</v>
      </c>
      <c r="W675" s="254" t="str">
        <f>IFERROR(VLOOKUP(V675,TD!$N$34:$O$46,2,0)," ")</f>
        <v>Servicios tecnológicos</v>
      </c>
      <c r="X675" s="296" t="str">
        <f>CONCATENATE(V675,"_",W675)</f>
        <v>007_Servicios tecnológicos</v>
      </c>
      <c r="Y675" s="296" t="str">
        <f>CONCATENATE(U675," ",X675)</f>
        <v>11-Infraestructura Tecnológica   (Sistemas de Información y Tecnologia) 007_Servicios tecnológicos</v>
      </c>
      <c r="Z675" s="294" t="str">
        <f>CONCATENATE(P675,Q675,R675,S675,V675)</f>
        <v>O23011745992024020711007</v>
      </c>
      <c r="AA675" s="294" t="str">
        <f>IFERROR(VLOOKUP(Y675,TD!$K$47:$L$65,2,0)," ")</f>
        <v>PM/0131/0111/45990070207</v>
      </c>
      <c r="AB675" s="125" t="s">
        <v>138</v>
      </c>
      <c r="AC675" s="297" t="s">
        <v>204</v>
      </c>
    </row>
    <row r="676" spans="2:29" ht="56" x14ac:dyDescent="0.35">
      <c r="B676" s="137">
        <v>20250757</v>
      </c>
      <c r="C676" s="138" t="s">
        <v>208</v>
      </c>
      <c r="D676" s="292" t="s">
        <v>162</v>
      </c>
      <c r="E676" s="295" t="s">
        <v>355</v>
      </c>
      <c r="F676" s="292" t="s">
        <v>788</v>
      </c>
      <c r="G676" s="292" t="s">
        <v>155</v>
      </c>
      <c r="H676" s="139">
        <v>80111600</v>
      </c>
      <c r="I676" s="293">
        <v>2</v>
      </c>
      <c r="J676" s="293">
        <v>11</v>
      </c>
      <c r="K676" s="140">
        <v>0</v>
      </c>
      <c r="L676" s="141">
        <v>20468000</v>
      </c>
      <c r="M676" s="158" t="s">
        <v>464</v>
      </c>
      <c r="N676" s="141" t="s">
        <v>113</v>
      </c>
      <c r="O676" s="252" t="s">
        <v>215</v>
      </c>
      <c r="P676" s="294" t="str">
        <f>IFERROR(VLOOKUP(C676,TD!$B$33:$F$37,2,0)," ")</f>
        <v>O230117</v>
      </c>
      <c r="Q676" s="294" t="str">
        <f>IFERROR(VLOOKUP(C676,TD!$B$33:$F$37,3,0)," ")</f>
        <v>4599</v>
      </c>
      <c r="R676" s="294">
        <f>IFERROR(VLOOKUP(C676,TD!$B$33:$F$37,4,0)," ")</f>
        <v>20240207</v>
      </c>
      <c r="S676" s="295" t="s">
        <v>179</v>
      </c>
      <c r="T676" s="254" t="str">
        <f>IFERROR(VLOOKUP(S676,TD!$J$34:$K$44,2,0)," ")</f>
        <v>Infraestructura Tecnológica   (Sistemas de Información y Tecnologia)</v>
      </c>
      <c r="U676" s="296" t="str">
        <f>CONCATENATE(S676,"-",T676)</f>
        <v>11-Infraestructura Tecnológica   (Sistemas de Información y Tecnologia)</v>
      </c>
      <c r="V676" s="252" t="s">
        <v>239</v>
      </c>
      <c r="W676" s="254" t="str">
        <f>IFERROR(VLOOKUP(V676,TD!$N$34:$O$46,2,0)," ")</f>
        <v>Servicios tecnológicos</v>
      </c>
      <c r="X676" s="296" t="str">
        <f>CONCATENATE(V676,"_",W676)</f>
        <v>007_Servicios tecnológicos</v>
      </c>
      <c r="Y676" s="296" t="str">
        <f>CONCATENATE(U676," ",X676)</f>
        <v>11-Infraestructura Tecnológica   (Sistemas de Información y Tecnologia) 007_Servicios tecnológicos</v>
      </c>
      <c r="Z676" s="294" t="str">
        <f>CONCATENATE(P676,Q676,R676,S676,V676)</f>
        <v>O23011745992024020711007</v>
      </c>
      <c r="AA676" s="294" t="str">
        <f>IFERROR(VLOOKUP(Y676,TD!$K$47:$L$65,2,0)," ")</f>
        <v>PM/0131/0111/45990070207</v>
      </c>
      <c r="AB676" s="141" t="s">
        <v>138</v>
      </c>
      <c r="AC676" s="297" t="s">
        <v>204</v>
      </c>
    </row>
    <row r="677" spans="2:29" ht="28" x14ac:dyDescent="0.35">
      <c r="B677" s="137">
        <v>20250758</v>
      </c>
      <c r="C677" s="138" t="s">
        <v>208</v>
      </c>
      <c r="D677" s="292" t="s">
        <v>162</v>
      </c>
      <c r="E677" s="295" t="s">
        <v>355</v>
      </c>
      <c r="F677" s="292" t="s">
        <v>767</v>
      </c>
      <c r="G677" s="292" t="s">
        <v>155</v>
      </c>
      <c r="H677" s="139">
        <v>80111600</v>
      </c>
      <c r="I677" s="293">
        <v>2</v>
      </c>
      <c r="J677" s="293">
        <v>11</v>
      </c>
      <c r="K677" s="140">
        <v>0</v>
      </c>
      <c r="L677" s="141">
        <v>29500000</v>
      </c>
      <c r="M677" s="158" t="s">
        <v>464</v>
      </c>
      <c r="N677" s="141" t="s">
        <v>113</v>
      </c>
      <c r="O677" s="252" t="s">
        <v>216</v>
      </c>
      <c r="P677" s="294" t="str">
        <f>IFERROR(VLOOKUP(C677,TD!$B$33:$F$37,2,0)," ")</f>
        <v>O230117</v>
      </c>
      <c r="Q677" s="294" t="str">
        <f>IFERROR(VLOOKUP(C677,TD!$B$33:$F$37,3,0)," ")</f>
        <v>4599</v>
      </c>
      <c r="R677" s="294">
        <f>IFERROR(VLOOKUP(C677,TD!$B$33:$F$37,4,0)," ")</f>
        <v>20240207</v>
      </c>
      <c r="S677" s="295" t="s">
        <v>179</v>
      </c>
      <c r="T677" s="254" t="str">
        <f>IFERROR(VLOOKUP(S677,TD!$J$34:$K$44,2,0)," ")</f>
        <v>Infraestructura Tecnológica   (Sistemas de Información y Tecnologia)</v>
      </c>
      <c r="U677" s="296" t="str">
        <f>CONCATENATE(S677,"-",T677)</f>
        <v>11-Infraestructura Tecnológica   (Sistemas de Información y Tecnologia)</v>
      </c>
      <c r="V677" s="295" t="s">
        <v>239</v>
      </c>
      <c r="W677" s="254" t="str">
        <f>IFERROR(VLOOKUP(V677,TD!$N$34:$O$46,2,0)," ")</f>
        <v>Servicios tecnológicos</v>
      </c>
      <c r="X677" s="296" t="str">
        <f>CONCATENATE(V677,"_",W677)</f>
        <v>007_Servicios tecnológicos</v>
      </c>
      <c r="Y677" s="296" t="str">
        <f>CONCATENATE(U677," ",X677)</f>
        <v>11-Infraestructura Tecnológica   (Sistemas de Información y Tecnologia) 007_Servicios tecnológicos</v>
      </c>
      <c r="Z677" s="294" t="str">
        <f>CONCATENATE(P677,Q677,R677,S677,V677)</f>
        <v>O23011745992024020711007</v>
      </c>
      <c r="AA677" s="294" t="str">
        <f>IFERROR(VLOOKUP(Y677,TD!$K$47:$L$65,2,0)," ")</f>
        <v>PM/0131/0111/45990070207</v>
      </c>
      <c r="AB677" s="141" t="s">
        <v>138</v>
      </c>
      <c r="AC677" s="297" t="s">
        <v>204</v>
      </c>
    </row>
    <row r="678" spans="2:29" ht="42" x14ac:dyDescent="0.35">
      <c r="B678" s="137">
        <v>20250759</v>
      </c>
      <c r="C678" s="138" t="s">
        <v>208</v>
      </c>
      <c r="D678" s="292" t="s">
        <v>162</v>
      </c>
      <c r="E678" s="295" t="s">
        <v>355</v>
      </c>
      <c r="F678" s="292" t="s">
        <v>1350</v>
      </c>
      <c r="G678" s="292" t="s">
        <v>155</v>
      </c>
      <c r="H678" s="139">
        <v>80111600</v>
      </c>
      <c r="I678" s="293">
        <v>2</v>
      </c>
      <c r="J678" s="293">
        <v>11</v>
      </c>
      <c r="K678" s="140">
        <v>0</v>
      </c>
      <c r="L678" s="141">
        <v>5200000</v>
      </c>
      <c r="M678" s="158" t="s">
        <v>464</v>
      </c>
      <c r="N678" s="141" t="s">
        <v>113</v>
      </c>
      <c r="O678" s="252" t="s">
        <v>215</v>
      </c>
      <c r="P678" s="294" t="str">
        <f>IFERROR(VLOOKUP(C678,TD!$B$33:$F$37,2,0)," ")</f>
        <v>O230117</v>
      </c>
      <c r="Q678" s="294" t="str">
        <f>IFERROR(VLOOKUP(C678,TD!$B$33:$F$37,3,0)," ")</f>
        <v>4599</v>
      </c>
      <c r="R678" s="294">
        <f>IFERROR(VLOOKUP(C678,TD!$B$33:$F$37,4,0)," ")</f>
        <v>20240207</v>
      </c>
      <c r="S678" s="295" t="s">
        <v>179</v>
      </c>
      <c r="T678" s="254" t="str">
        <f>IFERROR(VLOOKUP(S678,TD!$J$34:$K$44,2,0)," ")</f>
        <v>Infraestructura Tecnológica   (Sistemas de Información y Tecnologia)</v>
      </c>
      <c r="U678" s="296" t="str">
        <f>CONCATENATE(S678,"-",T678)</f>
        <v>11-Infraestructura Tecnológica   (Sistemas de Información y Tecnologia)</v>
      </c>
      <c r="V678" s="295" t="s">
        <v>239</v>
      </c>
      <c r="W678" s="254" t="str">
        <f>IFERROR(VLOOKUP(V678,TD!$N$34:$O$46,2,0)," ")</f>
        <v>Servicios tecnológicos</v>
      </c>
      <c r="X678" s="296" t="str">
        <f>CONCATENATE(V678,"_",W678)</f>
        <v>007_Servicios tecnológicos</v>
      </c>
      <c r="Y678" s="296" t="str">
        <f>CONCATENATE(U678," ",X678)</f>
        <v>11-Infraestructura Tecnológica   (Sistemas de Información y Tecnologia) 007_Servicios tecnológicos</v>
      </c>
      <c r="Z678" s="294" t="str">
        <f>CONCATENATE(P678,Q678,R678,S678,V678)</f>
        <v>O23011745992024020711007</v>
      </c>
      <c r="AA678" s="294" t="str">
        <f>IFERROR(VLOOKUP(Y678,TD!$K$47:$L$65,2,0)," ")</f>
        <v>PM/0131/0111/45990070207</v>
      </c>
      <c r="AB678" s="141" t="s">
        <v>120</v>
      </c>
      <c r="AC678" s="297" t="s">
        <v>205</v>
      </c>
    </row>
    <row r="679" spans="2:29" ht="70" x14ac:dyDescent="0.35">
      <c r="B679" s="137">
        <v>20250761</v>
      </c>
      <c r="C679" s="138" t="s">
        <v>208</v>
      </c>
      <c r="D679" s="292" t="s">
        <v>162</v>
      </c>
      <c r="E679" s="295" t="s">
        <v>355</v>
      </c>
      <c r="F679" s="292" t="s">
        <v>1351</v>
      </c>
      <c r="G679" s="292" t="s">
        <v>155</v>
      </c>
      <c r="H679" s="139">
        <v>80111600</v>
      </c>
      <c r="I679" s="293">
        <v>2</v>
      </c>
      <c r="J679" s="293">
        <v>11</v>
      </c>
      <c r="K679" s="140">
        <v>0</v>
      </c>
      <c r="L679" s="141">
        <v>3483333</v>
      </c>
      <c r="M679" s="158" t="s">
        <v>464</v>
      </c>
      <c r="N679" s="141" t="s">
        <v>113</v>
      </c>
      <c r="O679" s="252" t="s">
        <v>214</v>
      </c>
      <c r="P679" s="294" t="str">
        <f>IFERROR(VLOOKUP(C679,TD!$B$33:$F$37,2,0)," ")</f>
        <v>O230117</v>
      </c>
      <c r="Q679" s="294" t="str">
        <f>IFERROR(VLOOKUP(C679,TD!$B$33:$F$37,3,0)," ")</f>
        <v>4599</v>
      </c>
      <c r="R679" s="294">
        <f>IFERROR(VLOOKUP(C679,TD!$B$33:$F$37,4,0)," ")</f>
        <v>20240207</v>
      </c>
      <c r="S679" s="295" t="s">
        <v>179</v>
      </c>
      <c r="T679" s="254" t="str">
        <f>IFERROR(VLOOKUP(S679,TD!$J$34:$K$44,2,0)," ")</f>
        <v>Infraestructura Tecnológica   (Sistemas de Información y Tecnologia)</v>
      </c>
      <c r="U679" s="296" t="str">
        <f>CONCATENATE(S679,"-",T679)</f>
        <v>11-Infraestructura Tecnológica   (Sistemas de Información y Tecnologia)</v>
      </c>
      <c r="V679" s="295" t="s">
        <v>239</v>
      </c>
      <c r="W679" s="254" t="str">
        <f>IFERROR(VLOOKUP(V679,TD!$N$34:$O$46,2,0)," ")</f>
        <v>Servicios tecnológicos</v>
      </c>
      <c r="X679" s="296" t="str">
        <f>CONCATENATE(V679,"_",W679)</f>
        <v>007_Servicios tecnológicos</v>
      </c>
      <c r="Y679" s="296" t="str">
        <f>CONCATENATE(U679," ",X679)</f>
        <v>11-Infraestructura Tecnológica   (Sistemas de Información y Tecnologia) 007_Servicios tecnológicos</v>
      </c>
      <c r="Z679" s="294" t="str">
        <f>CONCATENATE(P679,Q679,R679,S679,V679)</f>
        <v>O23011745992024020711007</v>
      </c>
      <c r="AA679" s="294" t="str">
        <f>IFERROR(VLOOKUP(Y679,TD!$K$47:$L$65,2,0)," ")</f>
        <v>PM/0131/0111/45990070207</v>
      </c>
      <c r="AB679" s="141" t="s">
        <v>138</v>
      </c>
      <c r="AC679" s="297" t="s">
        <v>205</v>
      </c>
    </row>
    <row r="680" spans="2:29" ht="70" x14ac:dyDescent="0.35">
      <c r="B680" s="137">
        <v>20250762</v>
      </c>
      <c r="C680" s="138" t="s">
        <v>208</v>
      </c>
      <c r="D680" s="292" t="s">
        <v>162</v>
      </c>
      <c r="E680" s="295" t="s">
        <v>355</v>
      </c>
      <c r="F680" s="292" t="s">
        <v>1352</v>
      </c>
      <c r="G680" s="292" t="s">
        <v>155</v>
      </c>
      <c r="H680" s="139">
        <v>80111600</v>
      </c>
      <c r="I680" s="293">
        <v>2</v>
      </c>
      <c r="J680" s="293">
        <v>7</v>
      </c>
      <c r="K680" s="140">
        <v>0</v>
      </c>
      <c r="L680" s="141">
        <v>8633333</v>
      </c>
      <c r="M680" s="158" t="s">
        <v>464</v>
      </c>
      <c r="N680" s="141" t="s">
        <v>113</v>
      </c>
      <c r="O680" s="252" t="s">
        <v>215</v>
      </c>
      <c r="P680" s="294" t="str">
        <f>IFERROR(VLOOKUP(C680,TD!$B$33:$F$37,2,0)," ")</f>
        <v>O230117</v>
      </c>
      <c r="Q680" s="294" t="str">
        <f>IFERROR(VLOOKUP(C680,TD!$B$33:$F$37,3,0)," ")</f>
        <v>4599</v>
      </c>
      <c r="R680" s="294">
        <f>IFERROR(VLOOKUP(C680,TD!$B$33:$F$37,4,0)," ")</f>
        <v>20240207</v>
      </c>
      <c r="S680" s="295" t="s">
        <v>179</v>
      </c>
      <c r="T680" s="254" t="str">
        <f>IFERROR(VLOOKUP(S680,TD!$J$34:$K$44,2,0)," ")</f>
        <v>Infraestructura Tecnológica   (Sistemas de Información y Tecnologia)</v>
      </c>
      <c r="U680" s="296" t="str">
        <f>CONCATENATE(S680,"-",T680)</f>
        <v>11-Infraestructura Tecnológica   (Sistemas de Información y Tecnologia)</v>
      </c>
      <c r="V680" s="295" t="s">
        <v>239</v>
      </c>
      <c r="W680" s="254" t="str">
        <f>IFERROR(VLOOKUP(V680,TD!$N$34:$O$46,2,0)," ")</f>
        <v>Servicios tecnológicos</v>
      </c>
      <c r="X680" s="296" t="str">
        <f>CONCATENATE(V680,"_",W680)</f>
        <v>007_Servicios tecnológicos</v>
      </c>
      <c r="Y680" s="296" t="str">
        <f>CONCATENATE(U680," ",X680)</f>
        <v>11-Infraestructura Tecnológica   (Sistemas de Información y Tecnologia) 007_Servicios tecnológicos</v>
      </c>
      <c r="Z680" s="294" t="str">
        <f>CONCATENATE(P680,Q680,R680,S680,V680)</f>
        <v>O23011745992024020711007</v>
      </c>
      <c r="AA680" s="294" t="str">
        <f>IFERROR(VLOOKUP(Y680,TD!$K$47:$L$65,2,0)," ")</f>
        <v>PM/0131/0111/45990070207</v>
      </c>
      <c r="AB680" s="141" t="s">
        <v>120</v>
      </c>
      <c r="AC680" s="297" t="s">
        <v>205</v>
      </c>
    </row>
    <row r="681" spans="2:29" ht="70" x14ac:dyDescent="0.35">
      <c r="B681" s="137">
        <v>20250763</v>
      </c>
      <c r="C681" s="138" t="s">
        <v>208</v>
      </c>
      <c r="D681" s="292" t="s">
        <v>162</v>
      </c>
      <c r="E681" s="295" t="s">
        <v>355</v>
      </c>
      <c r="F681" s="292" t="s">
        <v>952</v>
      </c>
      <c r="G681" s="292" t="s">
        <v>96</v>
      </c>
      <c r="H681" s="139" t="s">
        <v>953</v>
      </c>
      <c r="I681" s="293">
        <v>9</v>
      </c>
      <c r="J681" s="293">
        <v>12</v>
      </c>
      <c r="K681" s="140">
        <v>0</v>
      </c>
      <c r="L681" s="141">
        <v>242005000</v>
      </c>
      <c r="M681" s="158" t="s">
        <v>464</v>
      </c>
      <c r="N681" s="141" t="s">
        <v>90</v>
      </c>
      <c r="O681" s="252" t="s">
        <v>216</v>
      </c>
      <c r="P681" s="294" t="str">
        <f>IFERROR(VLOOKUP(C681,TD!$B$33:$F$37,2,0)," ")</f>
        <v>O230117</v>
      </c>
      <c r="Q681" s="294" t="str">
        <f>IFERROR(VLOOKUP(C681,TD!$B$33:$F$37,3,0)," ")</f>
        <v>4599</v>
      </c>
      <c r="R681" s="294">
        <f>IFERROR(VLOOKUP(C681,TD!$B$33:$F$37,4,0)," ")</f>
        <v>20240207</v>
      </c>
      <c r="S681" s="295" t="s">
        <v>179</v>
      </c>
      <c r="T681" s="254" t="str">
        <f>IFERROR(VLOOKUP(S681,TD!$J$34:$K$44,2,0)," ")</f>
        <v>Infraestructura Tecnológica   (Sistemas de Información y Tecnologia)</v>
      </c>
      <c r="U681" s="296" t="str">
        <f>CONCATENATE(S681,"-",T681)</f>
        <v>11-Infraestructura Tecnológica   (Sistemas de Información y Tecnologia)</v>
      </c>
      <c r="V681" s="295" t="s">
        <v>239</v>
      </c>
      <c r="W681" s="254" t="str">
        <f>IFERROR(VLOOKUP(V681,TD!$N$34:$O$46,2,0)," ")</f>
        <v>Servicios tecnológicos</v>
      </c>
      <c r="X681" s="296" t="str">
        <f>CONCATENATE(V681,"_",W681)</f>
        <v>007_Servicios tecnológicos</v>
      </c>
      <c r="Y681" s="296" t="str">
        <f>CONCATENATE(U681," ",X681)</f>
        <v>11-Infraestructura Tecnológica   (Sistemas de Información y Tecnologia) 007_Servicios tecnológicos</v>
      </c>
      <c r="Z681" s="294" t="str">
        <f>CONCATENATE(P681,Q681,R681,S681,V681)</f>
        <v>O23011745992024020711007</v>
      </c>
      <c r="AA681" s="294" t="str">
        <f>IFERROR(VLOOKUP(Y681,TD!$K$47:$L$65,2,0)," ")</f>
        <v>PM/0131/0111/45990070207</v>
      </c>
      <c r="AB681" s="141" t="s">
        <v>130</v>
      </c>
      <c r="AC681" s="297" t="s">
        <v>204</v>
      </c>
    </row>
    <row r="682" spans="2:29" ht="126" x14ac:dyDescent="0.35">
      <c r="B682" s="127">
        <v>20250764</v>
      </c>
      <c r="C682" s="129" t="s">
        <v>208</v>
      </c>
      <c r="D682" s="251" t="s">
        <v>162</v>
      </c>
      <c r="E682" s="252" t="s">
        <v>355</v>
      </c>
      <c r="F682" s="251" t="s">
        <v>954</v>
      </c>
      <c r="G682" s="251" t="s">
        <v>157</v>
      </c>
      <c r="H682" s="130" t="s">
        <v>955</v>
      </c>
      <c r="I682" s="253">
        <v>7</v>
      </c>
      <c r="J682" s="253">
        <v>12</v>
      </c>
      <c r="K682" s="126">
        <v>0</v>
      </c>
      <c r="L682" s="125">
        <v>5901600</v>
      </c>
      <c r="M682" s="158" t="s">
        <v>464</v>
      </c>
      <c r="N682" s="141" t="s">
        <v>113</v>
      </c>
      <c r="O682" s="252" t="s">
        <v>214</v>
      </c>
      <c r="P682" s="254" t="str">
        <f>IFERROR(VLOOKUP(C682,TD!$B$33:$F$37,2,0)," ")</f>
        <v>O230117</v>
      </c>
      <c r="Q682" s="254" t="str">
        <f>IFERROR(VLOOKUP(C682,TD!$B$33:$F$37,3,0)," ")</f>
        <v>4599</v>
      </c>
      <c r="R682" s="254">
        <f>IFERROR(VLOOKUP(C682,TD!$B$33:$F$37,4,0)," ")</f>
        <v>20240207</v>
      </c>
      <c r="S682" s="295" t="s">
        <v>179</v>
      </c>
      <c r="T682" s="254" t="str">
        <f>IFERROR(VLOOKUP(S682,TD!$J$34:$K$44,2,0)," ")</f>
        <v>Infraestructura Tecnológica   (Sistemas de Información y Tecnologia)</v>
      </c>
      <c r="U682" s="249" t="str">
        <f>CONCATENATE(S682,"-",T682)</f>
        <v>11-Infraestructura Tecnológica   (Sistemas de Información y Tecnologia)</v>
      </c>
      <c r="V682" s="295" t="s">
        <v>239</v>
      </c>
      <c r="W682" s="254" t="str">
        <f>IFERROR(VLOOKUP(V682,TD!$N$34:$O$46,2,0)," ")</f>
        <v>Servicios tecnológicos</v>
      </c>
      <c r="X682" s="249" t="str">
        <f>CONCATENATE(V682,"_",W682)</f>
        <v>007_Servicios tecnológicos</v>
      </c>
      <c r="Y682" s="249" t="str">
        <f>CONCATENATE(U682," ",X682)</f>
        <v>11-Infraestructura Tecnológica   (Sistemas de Información y Tecnologia) 007_Servicios tecnológicos</v>
      </c>
      <c r="Z682" s="254" t="str">
        <f>CONCATENATE(P682,Q682,R682,S682,V682)</f>
        <v>O23011745992024020711007</v>
      </c>
      <c r="AA682" s="254" t="str">
        <f>IFERROR(VLOOKUP(Y682,TD!$K$47:$L$65,2,0)," ")</f>
        <v>PM/0131/0111/45990070207</v>
      </c>
      <c r="AB682" s="125" t="s">
        <v>125</v>
      </c>
      <c r="AC682" s="255" t="s">
        <v>204</v>
      </c>
    </row>
    <row r="683" spans="2:29" ht="98" x14ac:dyDescent="0.35">
      <c r="B683" s="127">
        <v>20250765</v>
      </c>
      <c r="C683" s="129" t="s">
        <v>346</v>
      </c>
      <c r="D683" s="251" t="s">
        <v>162</v>
      </c>
      <c r="E683" s="252" t="s">
        <v>355</v>
      </c>
      <c r="F683" s="251" t="s">
        <v>1197</v>
      </c>
      <c r="G683" s="251" t="s">
        <v>109</v>
      </c>
      <c r="H683" s="130">
        <v>43222600</v>
      </c>
      <c r="I683" s="253">
        <v>10</v>
      </c>
      <c r="J683" s="253">
        <v>6</v>
      </c>
      <c r="K683" s="126">
        <v>0</v>
      </c>
      <c r="L683" s="125">
        <v>200000000</v>
      </c>
      <c r="M683" s="158" t="s">
        <v>172</v>
      </c>
      <c r="N683" s="141" t="s">
        <v>95</v>
      </c>
      <c r="O683" s="252" t="s">
        <v>347</v>
      </c>
      <c r="P683" s="254" t="str">
        <f>IFERROR(VLOOKUP(C683,TD!$B$33:$F$37,2,0)," ")</f>
        <v>NA</v>
      </c>
      <c r="Q683" s="254" t="str">
        <f>IFERROR(VLOOKUP(C683,TD!$B$33:$F$37,3,0)," ")</f>
        <v>NA</v>
      </c>
      <c r="R683" s="254" t="str">
        <f>IFERROR(VLOOKUP(C683,TD!$B$33:$F$37,4,0)," ")</f>
        <v>NA</v>
      </c>
      <c r="S683" s="295" t="s">
        <v>406</v>
      </c>
      <c r="T683" s="254" t="str">
        <f>IFERROR(VLOOKUP(S683,TD!$J$34:$K$44,2,0)," ")</f>
        <v>N/A</v>
      </c>
      <c r="U683" s="249" t="str">
        <f>CONCATENATE(S683,"-",T683)</f>
        <v>N/A-N/A</v>
      </c>
      <c r="V683" s="295" t="s">
        <v>406</v>
      </c>
      <c r="W683" s="254" t="str">
        <f>IFERROR(VLOOKUP(V683,TD!$N$34:$O$46,2,0)," ")</f>
        <v>N/A</v>
      </c>
      <c r="X683" s="249" t="str">
        <f>CONCATENATE(V683,"_",W683)</f>
        <v>N/A_N/A</v>
      </c>
      <c r="Y683" s="249" t="str">
        <f>CONCATENATE(U683," ",X683)</f>
        <v>N/A-N/A N/A_N/A</v>
      </c>
      <c r="Z683" s="254" t="str">
        <f>CONCATENATE(P683,Q683,R683,S683,V683)</f>
        <v>NANANAN/AN/A</v>
      </c>
      <c r="AA683" s="254" t="str">
        <f>IFERROR(VLOOKUP(Y683,TD!$K$47:$L$65,2,0)," ")</f>
        <v>N/A</v>
      </c>
      <c r="AB683" s="125" t="s">
        <v>348</v>
      </c>
      <c r="AC683" s="255" t="s">
        <v>204</v>
      </c>
    </row>
    <row r="684" spans="2:29" ht="56" x14ac:dyDescent="0.35">
      <c r="B684" s="127">
        <v>20250766</v>
      </c>
      <c r="C684" s="129" t="s">
        <v>346</v>
      </c>
      <c r="D684" s="251" t="s">
        <v>162</v>
      </c>
      <c r="E684" s="252" t="s">
        <v>355</v>
      </c>
      <c r="F684" s="251" t="s">
        <v>797</v>
      </c>
      <c r="G684" s="251" t="s">
        <v>149</v>
      </c>
      <c r="H684" s="130">
        <v>43222635</v>
      </c>
      <c r="I684" s="253">
        <v>7</v>
      </c>
      <c r="J684" s="253">
        <v>8</v>
      </c>
      <c r="K684" s="126">
        <v>0</v>
      </c>
      <c r="L684" s="125">
        <v>118825489</v>
      </c>
      <c r="M684" s="158" t="s">
        <v>172</v>
      </c>
      <c r="N684" s="141" t="s">
        <v>90</v>
      </c>
      <c r="O684" s="252" t="s">
        <v>347</v>
      </c>
      <c r="P684" s="254" t="str">
        <f>IFERROR(VLOOKUP(C684,TD!$B$33:$F$37,2,0)," ")</f>
        <v>NA</v>
      </c>
      <c r="Q684" s="254" t="str">
        <f>IFERROR(VLOOKUP(C684,TD!$B$33:$F$37,3,0)," ")</f>
        <v>NA</v>
      </c>
      <c r="R684" s="254" t="str">
        <f>IFERROR(VLOOKUP(C684,TD!$B$33:$F$37,4,0)," ")</f>
        <v>NA</v>
      </c>
      <c r="S684" s="295" t="s">
        <v>406</v>
      </c>
      <c r="T684" s="254" t="str">
        <f>IFERROR(VLOOKUP(S684,TD!$J$34:$K$44,2,0)," ")</f>
        <v>N/A</v>
      </c>
      <c r="U684" s="249" t="str">
        <f>CONCATENATE(S684,"-",T684)</f>
        <v>N/A-N/A</v>
      </c>
      <c r="V684" s="295" t="s">
        <v>406</v>
      </c>
      <c r="W684" s="254" t="str">
        <f>IFERROR(VLOOKUP(V684,TD!$N$34:$O$46,2,0)," ")</f>
        <v>N/A</v>
      </c>
      <c r="X684" s="249" t="str">
        <f>CONCATENATE(V684,"_",W684)</f>
        <v>N/A_N/A</v>
      </c>
      <c r="Y684" s="249" t="str">
        <f>CONCATENATE(U684," ",X684)</f>
        <v>N/A-N/A N/A_N/A</v>
      </c>
      <c r="Z684" s="254" t="str">
        <f>CONCATENATE(P684,Q684,R684,S684,V684)</f>
        <v>NANANAN/AN/A</v>
      </c>
      <c r="AA684" s="254" t="str">
        <f>IFERROR(VLOOKUP(Y684,TD!$K$47:$L$65,2,0)," ")</f>
        <v>N/A</v>
      </c>
      <c r="AB684" s="125" t="s">
        <v>444</v>
      </c>
      <c r="AC684" s="255" t="s">
        <v>204</v>
      </c>
    </row>
    <row r="685" spans="2:29" ht="98" x14ac:dyDescent="0.35">
      <c r="B685" s="127">
        <v>20250767</v>
      </c>
      <c r="C685" s="129" t="s">
        <v>346</v>
      </c>
      <c r="D685" s="251" t="s">
        <v>162</v>
      </c>
      <c r="E685" s="252" t="s">
        <v>355</v>
      </c>
      <c r="F685" s="251" t="s">
        <v>956</v>
      </c>
      <c r="G685" s="251" t="s">
        <v>154</v>
      </c>
      <c r="H685" s="130" t="s">
        <v>1121</v>
      </c>
      <c r="I685" s="253">
        <v>10</v>
      </c>
      <c r="J685" s="253">
        <v>8</v>
      </c>
      <c r="K685" s="126">
        <v>0</v>
      </c>
      <c r="L685" s="125">
        <v>240000000</v>
      </c>
      <c r="M685" s="159" t="s">
        <v>172</v>
      </c>
      <c r="N685" s="125" t="s">
        <v>95</v>
      </c>
      <c r="O685" s="252" t="s">
        <v>347</v>
      </c>
      <c r="P685" s="254" t="str">
        <f>IFERROR(VLOOKUP(C685,TD!$B$33:$F$37,2,0)," ")</f>
        <v>NA</v>
      </c>
      <c r="Q685" s="254" t="str">
        <f>IFERROR(VLOOKUP(C685,TD!$B$33:$F$37,3,0)," ")</f>
        <v>NA</v>
      </c>
      <c r="R685" s="254" t="str">
        <f>IFERROR(VLOOKUP(C685,TD!$B$33:$F$37,4,0)," ")</f>
        <v>NA</v>
      </c>
      <c r="S685" s="252" t="s">
        <v>406</v>
      </c>
      <c r="T685" s="254" t="str">
        <f>IFERROR(VLOOKUP(S685,TD!$J$34:$K$44,2,0)," ")</f>
        <v>N/A</v>
      </c>
      <c r="U685" s="249" t="str">
        <f>CONCATENATE(S685,"-",T685)</f>
        <v>N/A-N/A</v>
      </c>
      <c r="V685" s="295" t="s">
        <v>406</v>
      </c>
      <c r="W685" s="254" t="str">
        <f>IFERROR(VLOOKUP(V685,TD!$N$34:$O$46,2,0)," ")</f>
        <v>N/A</v>
      </c>
      <c r="X685" s="249" t="str">
        <f>CONCATENATE(V685,"_",W685)</f>
        <v>N/A_N/A</v>
      </c>
      <c r="Y685" s="249" t="str">
        <f>CONCATENATE(U685," ",X685)</f>
        <v>N/A-N/A N/A_N/A</v>
      </c>
      <c r="Z685" s="254" t="str">
        <f>CONCATENATE(P685,Q685,R685,S685,V685)</f>
        <v>NANANAN/AN/A</v>
      </c>
      <c r="AA685" s="254" t="str">
        <f>IFERROR(VLOOKUP(Y685,TD!$K$47:$L$65,2,0)," ")</f>
        <v>N/A</v>
      </c>
      <c r="AB685" s="125" t="s">
        <v>348</v>
      </c>
      <c r="AC685" s="252" t="s">
        <v>204</v>
      </c>
    </row>
    <row r="686" spans="2:29" ht="56" x14ac:dyDescent="0.35">
      <c r="B686" s="145">
        <v>20250768</v>
      </c>
      <c r="C686" s="145" t="s">
        <v>208</v>
      </c>
      <c r="D686" s="308" t="s">
        <v>46</v>
      </c>
      <c r="E686" s="309" t="s">
        <v>465</v>
      </c>
      <c r="F686" s="308" t="s">
        <v>960</v>
      </c>
      <c r="G686" s="308" t="s">
        <v>155</v>
      </c>
      <c r="H686" s="177">
        <v>80111600</v>
      </c>
      <c r="I686" s="310">
        <v>7</v>
      </c>
      <c r="J686" s="310">
        <v>2</v>
      </c>
      <c r="K686" s="179">
        <v>0</v>
      </c>
      <c r="L686" s="144">
        <v>13000000</v>
      </c>
      <c r="M686" s="149" t="s">
        <v>464</v>
      </c>
      <c r="N686" s="144" t="s">
        <v>113</v>
      </c>
      <c r="O686" s="252" t="s">
        <v>219</v>
      </c>
      <c r="P686" s="311" t="str">
        <f>IFERROR(VLOOKUP(C686,TD!$B$33:$F$37,2,0)," ")</f>
        <v>O230117</v>
      </c>
      <c r="Q686" s="311" t="str">
        <f>IFERROR(VLOOKUP(C686,TD!$B$33:$F$37,3,0)," ")</f>
        <v>4599</v>
      </c>
      <c r="R686" s="311">
        <f>IFERROR(VLOOKUP(C686,TD!$B$33:$F$37,4,0)," ")</f>
        <v>20240207</v>
      </c>
      <c r="S686" s="51" t="s">
        <v>185</v>
      </c>
      <c r="T686" s="254" t="str">
        <f>IFERROR(VLOOKUP(S686,TD!$J$34:$K$44,2,0)," ")</f>
        <v>Infraestructura física, mantenimiento y dotación (Sedes construidas, mantenidas reforzadas)</v>
      </c>
      <c r="U686" s="249" t="str">
        <f>CONCATENATE(S686,"-",T686)</f>
        <v>08-Infraestructura física, mantenimiento y dotación (Sedes construidas, mantenidas reforzadas)</v>
      </c>
      <c r="V686" s="51" t="s">
        <v>238</v>
      </c>
      <c r="W686" s="254" t="str">
        <f>IFERROR(VLOOKUP(V686,TD!$N$34:$O$46,2,0)," ")</f>
        <v>Sedes mantenidas</v>
      </c>
      <c r="X686" s="249" t="str">
        <f>CONCATENATE(V686,"_",W686)</f>
        <v>016_Sedes mantenidas</v>
      </c>
      <c r="Y686" s="249" t="str">
        <f>CONCATENATE(U686," ",X686)</f>
        <v>08-Infraestructura física, mantenimiento y dotación (Sedes construidas, mantenidas reforzadas) 016_Sedes mantenidas</v>
      </c>
      <c r="Z686" s="311" t="str">
        <f>CONCATENATE(P686,Q686,R686,S686,V686)</f>
        <v>O23011745992024020708016</v>
      </c>
      <c r="AA686" s="311" t="str">
        <f>IFERROR(VLOOKUP(Y686,TD!$K$47:$L$65,2,0)," ")</f>
        <v>PM/0131/0108/45990160207</v>
      </c>
      <c r="AB686" s="144" t="s">
        <v>120</v>
      </c>
      <c r="AC686" s="309" t="s">
        <v>205</v>
      </c>
    </row>
    <row r="687" spans="2:29" ht="56" x14ac:dyDescent="0.35">
      <c r="B687" s="145">
        <v>20250769</v>
      </c>
      <c r="C687" s="145" t="s">
        <v>208</v>
      </c>
      <c r="D687" s="308" t="s">
        <v>46</v>
      </c>
      <c r="E687" s="309" t="s">
        <v>465</v>
      </c>
      <c r="F687" s="308" t="s">
        <v>961</v>
      </c>
      <c r="G687" s="308" t="s">
        <v>155</v>
      </c>
      <c r="H687" s="177">
        <v>80111600</v>
      </c>
      <c r="I687" s="310">
        <v>7</v>
      </c>
      <c r="J687" s="310">
        <v>2</v>
      </c>
      <c r="K687" s="179">
        <v>0</v>
      </c>
      <c r="L687" s="144">
        <v>10000000</v>
      </c>
      <c r="M687" s="149" t="s">
        <v>464</v>
      </c>
      <c r="N687" s="144" t="s">
        <v>113</v>
      </c>
      <c r="O687" s="252" t="s">
        <v>219</v>
      </c>
      <c r="P687" s="311" t="str">
        <f>IFERROR(VLOOKUP(C687,TD!$B$33:$F$37,2,0)," ")</f>
        <v>O230117</v>
      </c>
      <c r="Q687" s="311" t="str">
        <f>IFERROR(VLOOKUP(C687,TD!$B$33:$F$37,3,0)," ")</f>
        <v>4599</v>
      </c>
      <c r="R687" s="311">
        <f>IFERROR(VLOOKUP(C687,TD!$B$33:$F$37,4,0)," ")</f>
        <v>20240207</v>
      </c>
      <c r="S687" s="51" t="s">
        <v>185</v>
      </c>
      <c r="T687" s="254" t="str">
        <f>IFERROR(VLOOKUP(S687,TD!$J$34:$K$44,2,0)," ")</f>
        <v>Infraestructura física, mantenimiento y dotación (Sedes construidas, mantenidas reforzadas)</v>
      </c>
      <c r="U687" s="249" t="str">
        <f>CONCATENATE(S687,"-",T687)</f>
        <v>08-Infraestructura física, mantenimiento y dotación (Sedes construidas, mantenidas reforzadas)</v>
      </c>
      <c r="V687" s="51" t="s">
        <v>238</v>
      </c>
      <c r="W687" s="254" t="str">
        <f>IFERROR(VLOOKUP(V687,TD!$N$34:$O$46,2,0)," ")</f>
        <v>Sedes mantenidas</v>
      </c>
      <c r="X687" s="249" t="str">
        <f>CONCATENATE(V687,"_",W687)</f>
        <v>016_Sedes mantenidas</v>
      </c>
      <c r="Y687" s="249" t="str">
        <f>CONCATENATE(U687," ",X687)</f>
        <v>08-Infraestructura física, mantenimiento y dotación (Sedes construidas, mantenidas reforzadas) 016_Sedes mantenidas</v>
      </c>
      <c r="Z687" s="311" t="str">
        <f>CONCATENATE(P687,Q687,R687,S687,V687)</f>
        <v>O23011745992024020708016</v>
      </c>
      <c r="AA687" s="311" t="str">
        <f>IFERROR(VLOOKUP(Y687,TD!$K$47:$L$65,2,0)," ")</f>
        <v>PM/0131/0108/45990160207</v>
      </c>
      <c r="AB687" s="144" t="s">
        <v>120</v>
      </c>
      <c r="AC687" s="309" t="s">
        <v>205</v>
      </c>
    </row>
    <row r="688" spans="2:29" ht="56" x14ac:dyDescent="0.35">
      <c r="B688" s="145">
        <v>20250771</v>
      </c>
      <c r="C688" s="50" t="s">
        <v>209</v>
      </c>
      <c r="D688" s="308" t="s">
        <v>165</v>
      </c>
      <c r="E688" s="51" t="s">
        <v>484</v>
      </c>
      <c r="F688" s="308" t="s">
        <v>962</v>
      </c>
      <c r="G688" s="308" t="s">
        <v>155</v>
      </c>
      <c r="H688" s="177">
        <v>80111600</v>
      </c>
      <c r="I688" s="310">
        <v>8</v>
      </c>
      <c r="J688" s="310">
        <v>5</v>
      </c>
      <c r="K688" s="179">
        <v>0</v>
      </c>
      <c r="L688" s="144">
        <v>34000000</v>
      </c>
      <c r="M688" s="149" t="s">
        <v>464</v>
      </c>
      <c r="N688" s="144" t="s">
        <v>113</v>
      </c>
      <c r="O688" s="309" t="s">
        <v>229</v>
      </c>
      <c r="P688" s="311" t="str">
        <f>IFERROR(VLOOKUP(C688,TD!$B$33:$F$37,2,0)," ")</f>
        <v>O230117</v>
      </c>
      <c r="Q688" s="311" t="str">
        <f>IFERROR(VLOOKUP(C688,TD!$B$33:$F$37,3,0)," ")</f>
        <v>4503</v>
      </c>
      <c r="R688" s="311">
        <f>IFERROR(VLOOKUP(C688,TD!$B$33:$F$37,4,0)," ")</f>
        <v>20240255</v>
      </c>
      <c r="S688" s="51" t="s">
        <v>183</v>
      </c>
      <c r="T688" s="254" t="str">
        <f>IFERROR(VLOOKUP(S688,TD!$J$34:$K$44,2,0)," ")</f>
        <v>Servicio de formación en gestión del riesgo de incendios para el personal UAECOB</v>
      </c>
      <c r="U688" s="249" t="str">
        <f>CONCATENATE(S688,"-",T688)</f>
        <v>07-Servicio de formación en gestión del riesgo de incendios para el personal UAECOB</v>
      </c>
      <c r="V688" s="302" t="s">
        <v>233</v>
      </c>
      <c r="W688" s="254" t="str">
        <f>IFERROR(VLOOKUP(V688,TD!$N$34:$O$46,2,0)," ")</f>
        <v>Servicio de educación informal</v>
      </c>
      <c r="X688" s="249" t="str">
        <f>CONCATENATE(V688,"_",W688)</f>
        <v>002_Servicio de educación informal</v>
      </c>
      <c r="Y688" s="249" t="str">
        <f>CONCATENATE(U688," ",X688)</f>
        <v>07-Servicio de formación en gestión del riesgo de incendios para el personal UAECOB 002_Servicio de educación informal</v>
      </c>
      <c r="Z688" s="311" t="str">
        <f>CONCATENATE(P688,Q688,R688,S688,V688)</f>
        <v>O23011745032024025507002</v>
      </c>
      <c r="AA688" s="311" t="str">
        <f>IFERROR(VLOOKUP(Y688,TD!$K$47:$L$65,2,0)," ")</f>
        <v>PM/0131/0107/45030020255</v>
      </c>
      <c r="AB688" s="144" t="s">
        <v>138</v>
      </c>
      <c r="AC688" s="309" t="s">
        <v>204</v>
      </c>
    </row>
    <row r="689" spans="2:29" ht="84" x14ac:dyDescent="0.35">
      <c r="B689" s="145">
        <v>20250772</v>
      </c>
      <c r="C689" s="145" t="s">
        <v>209</v>
      </c>
      <c r="D689" s="246" t="s">
        <v>165</v>
      </c>
      <c r="E689" s="51" t="s">
        <v>484</v>
      </c>
      <c r="F689" s="246" t="s">
        <v>963</v>
      </c>
      <c r="G689" s="246" t="s">
        <v>155</v>
      </c>
      <c r="H689" s="93">
        <v>80111600</v>
      </c>
      <c r="I689" s="247">
        <v>8</v>
      </c>
      <c r="J689" s="247">
        <v>5</v>
      </c>
      <c r="K689" s="52">
        <v>0</v>
      </c>
      <c r="L689" s="53">
        <v>34000000</v>
      </c>
      <c r="M689" s="149" t="s">
        <v>464</v>
      </c>
      <c r="N689" s="144" t="s">
        <v>113</v>
      </c>
      <c r="O689" s="309" t="s">
        <v>229</v>
      </c>
      <c r="P689" s="248" t="str">
        <f>IFERROR(VLOOKUP(C689,TD!$B$33:$F$37,2,0)," ")</f>
        <v>O230117</v>
      </c>
      <c r="Q689" s="248" t="str">
        <f>IFERROR(VLOOKUP(C689,TD!$B$33:$F$37,3,0)," ")</f>
        <v>4503</v>
      </c>
      <c r="R689" s="248">
        <f>IFERROR(VLOOKUP(C689,TD!$B$33:$F$37,4,0)," ")</f>
        <v>20240255</v>
      </c>
      <c r="S689" s="51" t="s">
        <v>183</v>
      </c>
      <c r="T689" s="254" t="str">
        <f>IFERROR(VLOOKUP(S689,TD!$J$34:$K$44,2,0)," ")</f>
        <v>Servicio de formación en gestión del riesgo de incendios para el personal UAECOB</v>
      </c>
      <c r="U689" s="249" t="str">
        <f>CONCATENATE(S689,"-",T689)</f>
        <v>07-Servicio de formación en gestión del riesgo de incendios para el personal UAECOB</v>
      </c>
      <c r="V689" s="51" t="s">
        <v>233</v>
      </c>
      <c r="W689" s="254" t="str">
        <f>IFERROR(VLOOKUP(V689,TD!$N$34:$O$46,2,0)," ")</f>
        <v>Servicio de educación informal</v>
      </c>
      <c r="X689" s="249" t="str">
        <f>CONCATENATE(V689,"_",W689)</f>
        <v>002_Servicio de educación informal</v>
      </c>
      <c r="Y689" s="249" t="str">
        <f>CONCATENATE(U689," ",X689)</f>
        <v>07-Servicio de formación en gestión del riesgo de incendios para el personal UAECOB 002_Servicio de educación informal</v>
      </c>
      <c r="Z689" s="248" t="str">
        <f>CONCATENATE(P689,Q689,R689,S689,V689)</f>
        <v>O23011745032024025507002</v>
      </c>
      <c r="AA689" s="248" t="str">
        <f>IFERROR(VLOOKUP(Y689,TD!$K$47:$L$65,2,0)," ")</f>
        <v>PM/0131/0107/45030020255</v>
      </c>
      <c r="AB689" s="144" t="s">
        <v>138</v>
      </c>
      <c r="AC689" s="51" t="s">
        <v>204</v>
      </c>
    </row>
    <row r="690" spans="2:29" ht="84" x14ac:dyDescent="0.35">
      <c r="B690" s="50">
        <v>20250773</v>
      </c>
      <c r="C690" s="145" t="s">
        <v>209</v>
      </c>
      <c r="D690" s="246" t="s">
        <v>165</v>
      </c>
      <c r="E690" s="51" t="s">
        <v>484</v>
      </c>
      <c r="F690" s="246" t="s">
        <v>967</v>
      </c>
      <c r="G690" s="246" t="s">
        <v>155</v>
      </c>
      <c r="H690" s="93">
        <v>80111600</v>
      </c>
      <c r="I690" s="247">
        <v>4</v>
      </c>
      <c r="J690" s="247">
        <v>10</v>
      </c>
      <c r="K690" s="52">
        <v>0</v>
      </c>
      <c r="L690" s="53">
        <v>13650000</v>
      </c>
      <c r="M690" s="149" t="s">
        <v>464</v>
      </c>
      <c r="N690" s="144" t="s">
        <v>113</v>
      </c>
      <c r="O690" s="309" t="s">
        <v>229</v>
      </c>
      <c r="P690" s="248" t="str">
        <f>IFERROR(VLOOKUP(C690,TD!$B$33:$F$37,2,0)," ")</f>
        <v>O230117</v>
      </c>
      <c r="Q690" s="248" t="str">
        <f>IFERROR(VLOOKUP(C690,TD!$B$33:$F$37,3,0)," ")</f>
        <v>4503</v>
      </c>
      <c r="R690" s="248">
        <f>IFERROR(VLOOKUP(C690,TD!$B$33:$F$37,4,0)," ")</f>
        <v>20240255</v>
      </c>
      <c r="S690" s="51" t="s">
        <v>183</v>
      </c>
      <c r="T690" s="254" t="str">
        <f>IFERROR(VLOOKUP(S690,TD!$J$34:$K$44,2,0)," ")</f>
        <v>Servicio de formación en gestión del riesgo de incendios para el personal UAECOB</v>
      </c>
      <c r="U690" s="249" t="str">
        <f>CONCATENATE(S690,"-",T690)</f>
        <v>07-Servicio de formación en gestión del riesgo de incendios para el personal UAECOB</v>
      </c>
      <c r="V690" s="51" t="s">
        <v>233</v>
      </c>
      <c r="W690" s="254" t="str">
        <f>IFERROR(VLOOKUP(V690,TD!$N$34:$O$46,2,0)," ")</f>
        <v>Servicio de educación informal</v>
      </c>
      <c r="X690" s="249" t="str">
        <f>CONCATENATE(V690,"_",W690)</f>
        <v>002_Servicio de educación informal</v>
      </c>
      <c r="Y690" s="249" t="str">
        <f>CONCATENATE(U690," ",X690)</f>
        <v>07-Servicio de formación en gestión del riesgo de incendios para el personal UAECOB 002_Servicio de educación informal</v>
      </c>
      <c r="Z690" s="248" t="str">
        <f>CONCATENATE(P690,Q690,R690,S690,V690)</f>
        <v>O23011745032024025507002</v>
      </c>
      <c r="AA690" s="248" t="str">
        <f>IFERROR(VLOOKUP(Y690,TD!$K$47:$L$65,2,0)," ")</f>
        <v>PM/0131/0107/45030020255</v>
      </c>
      <c r="AB690" s="53" t="s">
        <v>120</v>
      </c>
      <c r="AC690" s="51" t="s">
        <v>205</v>
      </c>
    </row>
    <row r="691" spans="2:29" ht="98" x14ac:dyDescent="0.35">
      <c r="B691" s="181">
        <v>20250774</v>
      </c>
      <c r="C691" s="181" t="s">
        <v>208</v>
      </c>
      <c r="D691" s="312" t="s">
        <v>164</v>
      </c>
      <c r="E691" s="313" t="s">
        <v>389</v>
      </c>
      <c r="F691" s="246" t="s">
        <v>872</v>
      </c>
      <c r="G691" s="312" t="s">
        <v>155</v>
      </c>
      <c r="H691" s="93">
        <v>80111600</v>
      </c>
      <c r="I691" s="247">
        <v>8</v>
      </c>
      <c r="J691" s="247">
        <v>5</v>
      </c>
      <c r="K691" s="52">
        <v>0</v>
      </c>
      <c r="L691" s="53">
        <v>29750000</v>
      </c>
      <c r="M691" s="146" t="s">
        <v>464</v>
      </c>
      <c r="N691" s="147" t="s">
        <v>113</v>
      </c>
      <c r="O691" s="313" t="s">
        <v>219</v>
      </c>
      <c r="P691" s="314" t="str">
        <f>IFERROR(VLOOKUP(C691,TD!$B$33:$F$37,2,0)," ")</f>
        <v>O230117</v>
      </c>
      <c r="Q691" s="314" t="str">
        <f>IFERROR(VLOOKUP(C691,TD!$B$33:$F$37,3,0)," ")</f>
        <v>4599</v>
      </c>
      <c r="R691" s="314">
        <f>IFERROR(VLOOKUP(C691,TD!$B$33:$F$37,4,0)," ")</f>
        <v>20240207</v>
      </c>
      <c r="S691" s="313" t="s">
        <v>185</v>
      </c>
      <c r="T691" s="254" t="str">
        <f>IFERROR(VLOOKUP(S691,TD!$J$34:$K$44,2,0)," ")</f>
        <v>Infraestructura física, mantenimiento y dotación (Sedes construidas, mantenidas reforzadas)</v>
      </c>
      <c r="U691" s="249" t="str">
        <f>CONCATENATE(S691,"-",T691)</f>
        <v>08-Infraestructura física, mantenimiento y dotación (Sedes construidas, mantenidas reforzadas)</v>
      </c>
      <c r="V691" s="51" t="s">
        <v>238</v>
      </c>
      <c r="W691" s="254" t="str">
        <f>IFERROR(VLOOKUP(V691,TD!$N$34:$O$46,2,0)," ")</f>
        <v>Sedes mantenidas</v>
      </c>
      <c r="X691" s="249" t="str">
        <f>CONCATENATE(V691,"_",W691)</f>
        <v>016_Sedes mantenidas</v>
      </c>
      <c r="Y691" s="249" t="str">
        <f>CONCATENATE(U691," ",X691)</f>
        <v>08-Infraestructura física, mantenimiento y dotación (Sedes construidas, mantenidas reforzadas) 016_Sedes mantenidas</v>
      </c>
      <c r="Z691" s="314" t="str">
        <f>CONCATENATE(P691,Q691,R691,S691,V691)</f>
        <v>O23011745992024020708016</v>
      </c>
      <c r="AA691" s="314" t="str">
        <f>IFERROR(VLOOKUP(Y691,TD!$K$47:$L$65,2,0)," ")</f>
        <v>PM/0131/0108/45990160207</v>
      </c>
      <c r="AB691" s="147" t="s">
        <v>138</v>
      </c>
      <c r="AC691" s="313" t="s">
        <v>204</v>
      </c>
    </row>
    <row r="692" spans="2:29" ht="70" x14ac:dyDescent="0.35">
      <c r="B692" s="145">
        <v>20250775</v>
      </c>
      <c r="C692" s="148" t="s">
        <v>208</v>
      </c>
      <c r="D692" s="312" t="s">
        <v>164</v>
      </c>
      <c r="E692" s="313" t="s">
        <v>389</v>
      </c>
      <c r="F692" s="246" t="s">
        <v>456</v>
      </c>
      <c r="G692" s="308" t="s">
        <v>155</v>
      </c>
      <c r="H692" s="93">
        <v>80111600</v>
      </c>
      <c r="I692" s="247">
        <v>8</v>
      </c>
      <c r="J692" s="247">
        <v>5</v>
      </c>
      <c r="K692" s="52">
        <v>0</v>
      </c>
      <c r="L692" s="53">
        <v>54000000</v>
      </c>
      <c r="M692" s="146" t="s">
        <v>464</v>
      </c>
      <c r="N692" s="147" t="s">
        <v>113</v>
      </c>
      <c r="O692" s="313" t="s">
        <v>219</v>
      </c>
      <c r="P692" s="311" t="str">
        <f>IFERROR(VLOOKUP(C692,TD!$B$33:$F$37,2,0)," ")</f>
        <v>O230117</v>
      </c>
      <c r="Q692" s="311" t="str">
        <f>IFERROR(VLOOKUP(C692,TD!$B$33:$F$37,3,0)," ")</f>
        <v>4599</v>
      </c>
      <c r="R692" s="311">
        <f>IFERROR(VLOOKUP(C692,TD!$B$33:$F$37,4,0)," ")</f>
        <v>20240207</v>
      </c>
      <c r="S692" s="313" t="s">
        <v>185</v>
      </c>
      <c r="T692" s="254" t="str">
        <f>IFERROR(VLOOKUP(S692,TD!$J$34:$K$44,2,0)," ")</f>
        <v>Infraestructura física, mantenimiento y dotación (Sedes construidas, mantenidas reforzadas)</v>
      </c>
      <c r="U692" s="249" t="str">
        <f>CONCATENATE(S692,"-",T692)</f>
        <v>08-Infraestructura física, mantenimiento y dotación (Sedes construidas, mantenidas reforzadas)</v>
      </c>
      <c r="V692" s="51" t="s">
        <v>238</v>
      </c>
      <c r="W692" s="254" t="str">
        <f>IFERROR(VLOOKUP(V692,TD!$N$34:$O$46,2,0)," ")</f>
        <v>Sedes mantenidas</v>
      </c>
      <c r="X692" s="249" t="str">
        <f>CONCATENATE(V692,"_",W692)</f>
        <v>016_Sedes mantenidas</v>
      </c>
      <c r="Y692" s="249" t="str">
        <f>CONCATENATE(U692," ",X692)</f>
        <v>08-Infraestructura física, mantenimiento y dotación (Sedes construidas, mantenidas reforzadas) 016_Sedes mantenidas</v>
      </c>
      <c r="Z692" s="311" t="str">
        <f>CONCATENATE(P692,Q692,R692,S692,V692)</f>
        <v>O23011745992024020708016</v>
      </c>
      <c r="AA692" s="311" t="str">
        <f>IFERROR(VLOOKUP(Y692,TD!$K$47:$L$65,2,0)," ")</f>
        <v>PM/0131/0108/45990160207</v>
      </c>
      <c r="AB692" s="147" t="s">
        <v>138</v>
      </c>
      <c r="AC692" s="309" t="s">
        <v>204</v>
      </c>
    </row>
    <row r="693" spans="2:29" ht="84" x14ac:dyDescent="0.35">
      <c r="B693" s="145">
        <v>20250776</v>
      </c>
      <c r="C693" s="148" t="s">
        <v>208</v>
      </c>
      <c r="D693" s="312" t="s">
        <v>164</v>
      </c>
      <c r="E693" s="313" t="s">
        <v>389</v>
      </c>
      <c r="F693" s="246" t="s">
        <v>457</v>
      </c>
      <c r="G693" s="308" t="s">
        <v>155</v>
      </c>
      <c r="H693" s="93">
        <v>80111600</v>
      </c>
      <c r="I693" s="247">
        <v>8</v>
      </c>
      <c r="J693" s="247">
        <v>5</v>
      </c>
      <c r="K693" s="52">
        <v>0</v>
      </c>
      <c r="L693" s="53">
        <f>52250000-29400000+6550000</f>
        <v>29400000</v>
      </c>
      <c r="M693" s="146" t="s">
        <v>464</v>
      </c>
      <c r="N693" s="147" t="s">
        <v>113</v>
      </c>
      <c r="O693" s="313" t="s">
        <v>219</v>
      </c>
      <c r="P693" s="311" t="str">
        <f>IFERROR(VLOOKUP(C693,TD!$B$33:$F$37,2,0)," ")</f>
        <v>O230117</v>
      </c>
      <c r="Q693" s="311" t="str">
        <f>IFERROR(VLOOKUP(C693,TD!$B$33:$F$37,3,0)," ")</f>
        <v>4599</v>
      </c>
      <c r="R693" s="311">
        <f>IFERROR(VLOOKUP(C693,TD!$B$33:$F$37,4,0)," ")</f>
        <v>20240207</v>
      </c>
      <c r="S693" s="313" t="s">
        <v>185</v>
      </c>
      <c r="T693" s="254" t="str">
        <f>IFERROR(VLOOKUP(S693,TD!$J$34:$K$44,2,0)," ")</f>
        <v>Infraestructura física, mantenimiento y dotación (Sedes construidas, mantenidas reforzadas)</v>
      </c>
      <c r="U693" s="249" t="str">
        <f>CONCATENATE(S693,"-",T693)</f>
        <v>08-Infraestructura física, mantenimiento y dotación (Sedes construidas, mantenidas reforzadas)</v>
      </c>
      <c r="V693" s="51" t="s">
        <v>238</v>
      </c>
      <c r="W693" s="254" t="str">
        <f>IFERROR(VLOOKUP(V693,TD!$N$34:$O$46,2,0)," ")</f>
        <v>Sedes mantenidas</v>
      </c>
      <c r="X693" s="249" t="str">
        <f>CONCATENATE(V693,"_",W693)</f>
        <v>016_Sedes mantenidas</v>
      </c>
      <c r="Y693" s="249" t="str">
        <f>CONCATENATE(U693," ",X693)</f>
        <v>08-Infraestructura física, mantenimiento y dotación (Sedes construidas, mantenidas reforzadas) 016_Sedes mantenidas</v>
      </c>
      <c r="Z693" s="311" t="str">
        <f>CONCATENATE(P693,Q693,R693,S693,V693)</f>
        <v>O23011745992024020708016</v>
      </c>
      <c r="AA693" s="311" t="str">
        <f>IFERROR(VLOOKUP(Y693,TD!$K$47:$L$65,2,0)," ")</f>
        <v>PM/0131/0108/45990160207</v>
      </c>
      <c r="AB693" s="147" t="s">
        <v>138</v>
      </c>
      <c r="AC693" s="309" t="s">
        <v>204</v>
      </c>
    </row>
    <row r="694" spans="2:29" ht="84" x14ac:dyDescent="0.35">
      <c r="B694" s="145">
        <v>20250777</v>
      </c>
      <c r="C694" s="148" t="s">
        <v>208</v>
      </c>
      <c r="D694" s="312" t="s">
        <v>164</v>
      </c>
      <c r="E694" s="313" t="s">
        <v>389</v>
      </c>
      <c r="F694" s="246" t="s">
        <v>799</v>
      </c>
      <c r="G694" s="308" t="s">
        <v>155</v>
      </c>
      <c r="H694" s="93">
        <v>80111600</v>
      </c>
      <c r="I694" s="247">
        <v>8</v>
      </c>
      <c r="J694" s="247">
        <v>5</v>
      </c>
      <c r="K694" s="52">
        <v>0</v>
      </c>
      <c r="L694" s="53">
        <v>44000000</v>
      </c>
      <c r="M694" s="146" t="s">
        <v>464</v>
      </c>
      <c r="N694" s="147" t="s">
        <v>113</v>
      </c>
      <c r="O694" s="313" t="s">
        <v>219</v>
      </c>
      <c r="P694" s="311" t="str">
        <f>IFERROR(VLOOKUP(C694,TD!$B$33:$F$37,2,0)," ")</f>
        <v>O230117</v>
      </c>
      <c r="Q694" s="311" t="str">
        <f>IFERROR(VLOOKUP(C694,TD!$B$33:$F$37,3,0)," ")</f>
        <v>4599</v>
      </c>
      <c r="R694" s="311">
        <f>IFERROR(VLOOKUP(C694,TD!$B$33:$F$37,4,0)," ")</f>
        <v>20240207</v>
      </c>
      <c r="S694" s="313" t="s">
        <v>185</v>
      </c>
      <c r="T694" s="254" t="str">
        <f>IFERROR(VLOOKUP(S694,TD!$J$34:$K$44,2,0)," ")</f>
        <v>Infraestructura física, mantenimiento y dotación (Sedes construidas, mantenidas reforzadas)</v>
      </c>
      <c r="U694" s="249" t="str">
        <f>CONCATENATE(S694,"-",T694)</f>
        <v>08-Infraestructura física, mantenimiento y dotación (Sedes construidas, mantenidas reforzadas)</v>
      </c>
      <c r="V694" s="51" t="s">
        <v>238</v>
      </c>
      <c r="W694" s="254" t="str">
        <f>IFERROR(VLOOKUP(V694,TD!$N$34:$O$46,2,0)," ")</f>
        <v>Sedes mantenidas</v>
      </c>
      <c r="X694" s="249" t="str">
        <f>CONCATENATE(V694,"_",W694)</f>
        <v>016_Sedes mantenidas</v>
      </c>
      <c r="Y694" s="249" t="str">
        <f>CONCATENATE(U694," ",X694)</f>
        <v>08-Infraestructura física, mantenimiento y dotación (Sedes construidas, mantenidas reforzadas) 016_Sedes mantenidas</v>
      </c>
      <c r="Z694" s="311" t="str">
        <f>CONCATENATE(P694,Q694,R694,S694,V694)</f>
        <v>O23011745992024020708016</v>
      </c>
      <c r="AA694" s="311" t="str">
        <f>IFERROR(VLOOKUP(Y694,TD!$K$47:$L$65,2,0)," ")</f>
        <v>PM/0131/0108/45990160207</v>
      </c>
      <c r="AB694" s="144" t="s">
        <v>120</v>
      </c>
      <c r="AC694" s="309" t="s">
        <v>204</v>
      </c>
    </row>
    <row r="695" spans="2:29" ht="84" x14ac:dyDescent="0.35">
      <c r="B695" s="145">
        <v>20250778</v>
      </c>
      <c r="C695" s="148" t="s">
        <v>208</v>
      </c>
      <c r="D695" s="312" t="s">
        <v>164</v>
      </c>
      <c r="E695" s="313" t="s">
        <v>389</v>
      </c>
      <c r="F695" s="246" t="s">
        <v>703</v>
      </c>
      <c r="G695" s="308" t="s">
        <v>155</v>
      </c>
      <c r="H695" s="93">
        <v>80111600</v>
      </c>
      <c r="I695" s="247">
        <v>8</v>
      </c>
      <c r="J695" s="247">
        <v>5</v>
      </c>
      <c r="K695" s="52">
        <v>0</v>
      </c>
      <c r="L695" s="53">
        <f>82500000-45000000</f>
        <v>37500000</v>
      </c>
      <c r="M695" s="146" t="s">
        <v>464</v>
      </c>
      <c r="N695" s="147" t="s">
        <v>113</v>
      </c>
      <c r="O695" s="313" t="s">
        <v>219</v>
      </c>
      <c r="P695" s="311" t="str">
        <f>IFERROR(VLOOKUP(C695,TD!$B$33:$F$37,2,0)," ")</f>
        <v>O230117</v>
      </c>
      <c r="Q695" s="311" t="str">
        <f>IFERROR(VLOOKUP(C695,TD!$B$33:$F$37,3,0)," ")</f>
        <v>4599</v>
      </c>
      <c r="R695" s="311">
        <f>IFERROR(VLOOKUP(C695,TD!$B$33:$F$37,4,0)," ")</f>
        <v>20240207</v>
      </c>
      <c r="S695" s="313" t="s">
        <v>185</v>
      </c>
      <c r="T695" s="254" t="str">
        <f>IFERROR(VLOOKUP(S695,TD!$J$34:$K$44,2,0)," ")</f>
        <v>Infraestructura física, mantenimiento y dotación (Sedes construidas, mantenidas reforzadas)</v>
      </c>
      <c r="U695" s="249" t="str">
        <f>CONCATENATE(S695,"-",T695)</f>
        <v>08-Infraestructura física, mantenimiento y dotación (Sedes construidas, mantenidas reforzadas)</v>
      </c>
      <c r="V695" s="51" t="s">
        <v>238</v>
      </c>
      <c r="W695" s="254" t="str">
        <f>IFERROR(VLOOKUP(V695,TD!$N$34:$O$46,2,0)," ")</f>
        <v>Sedes mantenidas</v>
      </c>
      <c r="X695" s="249" t="str">
        <f>CONCATENATE(V695,"_",W695)</f>
        <v>016_Sedes mantenidas</v>
      </c>
      <c r="Y695" s="249" t="str">
        <f>CONCATENATE(U695," ",X695)</f>
        <v>08-Infraestructura física, mantenimiento y dotación (Sedes construidas, mantenidas reforzadas) 016_Sedes mantenidas</v>
      </c>
      <c r="Z695" s="311" t="str">
        <f>CONCATENATE(P695,Q695,R695,S695,V695)</f>
        <v>O23011745992024020708016</v>
      </c>
      <c r="AA695" s="311" t="str">
        <f>IFERROR(VLOOKUP(Y695,TD!$K$47:$L$65,2,0)," ")</f>
        <v>PM/0131/0108/45990160207</v>
      </c>
      <c r="AB695" s="144" t="s">
        <v>120</v>
      </c>
      <c r="AC695" s="309" t="s">
        <v>204</v>
      </c>
    </row>
    <row r="696" spans="2:29" ht="56" x14ac:dyDescent="0.35">
      <c r="B696" s="145">
        <v>20250779</v>
      </c>
      <c r="C696" s="148" t="s">
        <v>208</v>
      </c>
      <c r="D696" s="312" t="s">
        <v>164</v>
      </c>
      <c r="E696" s="313" t="s">
        <v>389</v>
      </c>
      <c r="F696" s="246" t="s">
        <v>703</v>
      </c>
      <c r="G696" s="308" t="s">
        <v>155</v>
      </c>
      <c r="H696" s="93">
        <v>80111600</v>
      </c>
      <c r="I696" s="247">
        <v>8</v>
      </c>
      <c r="J696" s="247">
        <v>5</v>
      </c>
      <c r="K696" s="52">
        <v>0</v>
      </c>
      <c r="L696" s="53">
        <v>25500000</v>
      </c>
      <c r="M696" s="146" t="s">
        <v>464</v>
      </c>
      <c r="N696" s="147" t="s">
        <v>113</v>
      </c>
      <c r="O696" s="313" t="s">
        <v>219</v>
      </c>
      <c r="P696" s="311" t="str">
        <f>IFERROR(VLOOKUP(C696,TD!$B$33:$F$37,2,0)," ")</f>
        <v>O230117</v>
      </c>
      <c r="Q696" s="311" t="str">
        <f>IFERROR(VLOOKUP(C696,TD!$B$33:$F$37,3,0)," ")</f>
        <v>4599</v>
      </c>
      <c r="R696" s="311">
        <f>IFERROR(VLOOKUP(C696,TD!$B$33:$F$37,4,0)," ")</f>
        <v>20240207</v>
      </c>
      <c r="S696" s="313" t="s">
        <v>185</v>
      </c>
      <c r="T696" s="254" t="str">
        <f>IFERROR(VLOOKUP(S696,TD!$J$34:$K$44,2,0)," ")</f>
        <v>Infraestructura física, mantenimiento y dotación (Sedes construidas, mantenidas reforzadas)</v>
      </c>
      <c r="U696" s="249" t="str">
        <f>CONCATENATE(S696,"-",T696)</f>
        <v>08-Infraestructura física, mantenimiento y dotación (Sedes construidas, mantenidas reforzadas)</v>
      </c>
      <c r="V696" s="51" t="s">
        <v>238</v>
      </c>
      <c r="W696" s="254" t="str">
        <f>IFERROR(VLOOKUP(V696,TD!$N$34:$O$46,2,0)," ")</f>
        <v>Sedes mantenidas</v>
      </c>
      <c r="X696" s="249" t="str">
        <f>CONCATENATE(V696,"_",W696)</f>
        <v>016_Sedes mantenidas</v>
      </c>
      <c r="Y696" s="249" t="str">
        <f>CONCATENATE(U696," ",X696)</f>
        <v>08-Infraestructura física, mantenimiento y dotación (Sedes construidas, mantenidas reforzadas) 016_Sedes mantenidas</v>
      </c>
      <c r="Z696" s="311" t="str">
        <f>CONCATENATE(P696,Q696,R696,S696,V696)</f>
        <v>O23011745992024020708016</v>
      </c>
      <c r="AA696" s="311" t="str">
        <f>IFERROR(VLOOKUP(Y696,TD!$K$47:$L$65,2,0)," ")</f>
        <v>PM/0131/0108/45990160207</v>
      </c>
      <c r="AB696" s="144" t="s">
        <v>120</v>
      </c>
      <c r="AC696" s="309" t="s">
        <v>204</v>
      </c>
    </row>
    <row r="697" spans="2:29" ht="56" x14ac:dyDescent="0.35">
      <c r="B697" s="145">
        <v>20250780</v>
      </c>
      <c r="C697" s="148" t="s">
        <v>208</v>
      </c>
      <c r="D697" s="312" t="s">
        <v>164</v>
      </c>
      <c r="E697" s="313" t="s">
        <v>389</v>
      </c>
      <c r="F697" s="246" t="s">
        <v>1304</v>
      </c>
      <c r="G697" s="308" t="s">
        <v>155</v>
      </c>
      <c r="H697" s="93">
        <v>80111600</v>
      </c>
      <c r="I697" s="247">
        <v>8</v>
      </c>
      <c r="J697" s="247">
        <v>5</v>
      </c>
      <c r="K697" s="52">
        <v>0</v>
      </c>
      <c r="L697" s="53">
        <v>7500000</v>
      </c>
      <c r="M697" s="146" t="s">
        <v>464</v>
      </c>
      <c r="N697" s="147" t="s">
        <v>113</v>
      </c>
      <c r="O697" s="313" t="s">
        <v>219</v>
      </c>
      <c r="P697" s="311" t="str">
        <f>IFERROR(VLOOKUP(C697,TD!$B$33:$F$37,2,0)," ")</f>
        <v>O230117</v>
      </c>
      <c r="Q697" s="311" t="str">
        <f>IFERROR(VLOOKUP(C697,TD!$B$33:$F$37,3,0)," ")</f>
        <v>4599</v>
      </c>
      <c r="R697" s="311">
        <f>IFERROR(VLOOKUP(C697,TD!$B$33:$F$37,4,0)," ")</f>
        <v>20240207</v>
      </c>
      <c r="S697" s="313" t="s">
        <v>185</v>
      </c>
      <c r="T697" s="254" t="str">
        <f>IFERROR(VLOOKUP(S697,TD!$J$34:$K$44,2,0)," ")</f>
        <v>Infraestructura física, mantenimiento y dotación (Sedes construidas, mantenidas reforzadas)</v>
      </c>
      <c r="U697" s="249" t="str">
        <f>CONCATENATE(S697,"-",T697)</f>
        <v>08-Infraestructura física, mantenimiento y dotación (Sedes construidas, mantenidas reforzadas)</v>
      </c>
      <c r="V697" s="51" t="s">
        <v>238</v>
      </c>
      <c r="W697" s="254" t="str">
        <f>IFERROR(VLOOKUP(V697,TD!$N$34:$O$46,2,0)," ")</f>
        <v>Sedes mantenidas</v>
      </c>
      <c r="X697" s="249" t="str">
        <f>CONCATENATE(V697,"_",W697)</f>
        <v>016_Sedes mantenidas</v>
      </c>
      <c r="Y697" s="249" t="str">
        <f>CONCATENATE(U697," ",X697)</f>
        <v>08-Infraestructura física, mantenimiento y dotación (Sedes construidas, mantenidas reforzadas) 016_Sedes mantenidas</v>
      </c>
      <c r="Z697" s="311" t="str">
        <f>CONCATENATE(P697,Q697,R697,S697,V697)</f>
        <v>O23011745992024020708016</v>
      </c>
      <c r="AA697" s="311" t="str">
        <f>IFERROR(VLOOKUP(Y697,TD!$K$47:$L$65,2,0)," ")</f>
        <v>PM/0131/0108/45990160207</v>
      </c>
      <c r="AB697" s="144" t="s">
        <v>120</v>
      </c>
      <c r="AC697" s="309" t="s">
        <v>205</v>
      </c>
    </row>
    <row r="698" spans="2:29" ht="56" x14ac:dyDescent="0.35">
      <c r="B698" s="145">
        <v>20250781</v>
      </c>
      <c r="C698" s="148" t="s">
        <v>208</v>
      </c>
      <c r="D698" s="312" t="s">
        <v>164</v>
      </c>
      <c r="E698" s="313" t="s">
        <v>389</v>
      </c>
      <c r="F698" s="246" t="s">
        <v>704</v>
      </c>
      <c r="G698" s="308" t="s">
        <v>155</v>
      </c>
      <c r="H698" s="93">
        <v>80111600</v>
      </c>
      <c r="I698" s="247">
        <v>8</v>
      </c>
      <c r="J698" s="247">
        <v>5</v>
      </c>
      <c r="K698" s="52">
        <v>0</v>
      </c>
      <c r="L698" s="53">
        <v>42000000</v>
      </c>
      <c r="M698" s="146" t="s">
        <v>464</v>
      </c>
      <c r="N698" s="147" t="s">
        <v>113</v>
      </c>
      <c r="O698" s="313" t="s">
        <v>219</v>
      </c>
      <c r="P698" s="311" t="str">
        <f>IFERROR(VLOOKUP(C698,TD!$B$33:$F$37,2,0)," ")</f>
        <v>O230117</v>
      </c>
      <c r="Q698" s="311" t="str">
        <f>IFERROR(VLOOKUP(C698,TD!$B$33:$F$37,3,0)," ")</f>
        <v>4599</v>
      </c>
      <c r="R698" s="311">
        <f>IFERROR(VLOOKUP(C698,TD!$B$33:$F$37,4,0)," ")</f>
        <v>20240207</v>
      </c>
      <c r="S698" s="313" t="s">
        <v>185</v>
      </c>
      <c r="T698" s="254" t="str">
        <f>IFERROR(VLOOKUP(S698,TD!$J$34:$K$44,2,0)," ")</f>
        <v>Infraestructura física, mantenimiento y dotación (Sedes construidas, mantenidas reforzadas)</v>
      </c>
      <c r="U698" s="249" t="str">
        <f>CONCATENATE(S698,"-",T698)</f>
        <v>08-Infraestructura física, mantenimiento y dotación (Sedes construidas, mantenidas reforzadas)</v>
      </c>
      <c r="V698" s="51" t="s">
        <v>238</v>
      </c>
      <c r="W698" s="254" t="str">
        <f>IFERROR(VLOOKUP(V698,TD!$N$34:$O$46,2,0)," ")</f>
        <v>Sedes mantenidas</v>
      </c>
      <c r="X698" s="249" t="str">
        <f>CONCATENATE(V698,"_",W698)</f>
        <v>016_Sedes mantenidas</v>
      </c>
      <c r="Y698" s="249" t="str">
        <f>CONCATENATE(U698," ",X698)</f>
        <v>08-Infraestructura física, mantenimiento y dotación (Sedes construidas, mantenidas reforzadas) 016_Sedes mantenidas</v>
      </c>
      <c r="Z698" s="311" t="str">
        <f>CONCATENATE(P698,Q698,R698,S698,V698)</f>
        <v>O23011745992024020708016</v>
      </c>
      <c r="AA698" s="311" t="str">
        <f>IFERROR(VLOOKUP(Y698,TD!$K$47:$L$65,2,0)," ")</f>
        <v>PM/0131/0108/45990160207</v>
      </c>
      <c r="AB698" s="144" t="s">
        <v>120</v>
      </c>
      <c r="AC698" s="309" t="s">
        <v>204</v>
      </c>
    </row>
    <row r="699" spans="2:29" ht="56" x14ac:dyDescent="0.35">
      <c r="B699" s="145">
        <v>20250782</v>
      </c>
      <c r="C699" s="148" t="s">
        <v>208</v>
      </c>
      <c r="D699" s="312" t="s">
        <v>164</v>
      </c>
      <c r="E699" s="313" t="s">
        <v>389</v>
      </c>
      <c r="F699" s="246" t="s">
        <v>703</v>
      </c>
      <c r="G699" s="308" t="s">
        <v>155</v>
      </c>
      <c r="H699" s="93">
        <v>80111600</v>
      </c>
      <c r="I699" s="247">
        <v>8</v>
      </c>
      <c r="J699" s="247">
        <v>5</v>
      </c>
      <c r="K699" s="52">
        <v>0</v>
      </c>
      <c r="L699" s="53">
        <f>71500000-39000000</f>
        <v>32500000</v>
      </c>
      <c r="M699" s="146" t="s">
        <v>464</v>
      </c>
      <c r="N699" s="147" t="s">
        <v>113</v>
      </c>
      <c r="O699" s="313" t="s">
        <v>219</v>
      </c>
      <c r="P699" s="311" t="str">
        <f>IFERROR(VLOOKUP(C699,TD!$B$33:$F$37,2,0)," ")</f>
        <v>O230117</v>
      </c>
      <c r="Q699" s="311" t="str">
        <f>IFERROR(VLOOKUP(C699,TD!$B$33:$F$37,3,0)," ")</f>
        <v>4599</v>
      </c>
      <c r="R699" s="311">
        <f>IFERROR(VLOOKUP(C699,TD!$B$33:$F$37,4,0)," ")</f>
        <v>20240207</v>
      </c>
      <c r="S699" s="313" t="s">
        <v>185</v>
      </c>
      <c r="T699" s="254" t="str">
        <f>IFERROR(VLOOKUP(S699,TD!$J$34:$K$44,2,0)," ")</f>
        <v>Infraestructura física, mantenimiento y dotación (Sedes construidas, mantenidas reforzadas)</v>
      </c>
      <c r="U699" s="249" t="str">
        <f>CONCATENATE(S699,"-",T699)</f>
        <v>08-Infraestructura física, mantenimiento y dotación (Sedes construidas, mantenidas reforzadas)</v>
      </c>
      <c r="V699" s="51" t="s">
        <v>238</v>
      </c>
      <c r="W699" s="254" t="str">
        <f>IFERROR(VLOOKUP(V699,TD!$N$34:$O$46,2,0)," ")</f>
        <v>Sedes mantenidas</v>
      </c>
      <c r="X699" s="249" t="str">
        <f>CONCATENATE(V699,"_",W699)</f>
        <v>016_Sedes mantenidas</v>
      </c>
      <c r="Y699" s="249" t="str">
        <f>CONCATENATE(U699," ",X699)</f>
        <v>08-Infraestructura física, mantenimiento y dotación (Sedes construidas, mantenidas reforzadas) 016_Sedes mantenidas</v>
      </c>
      <c r="Z699" s="311" t="str">
        <f>CONCATENATE(P699,Q699,R699,S699,V699)</f>
        <v>O23011745992024020708016</v>
      </c>
      <c r="AA699" s="311" t="str">
        <f>IFERROR(VLOOKUP(Y699,TD!$K$47:$L$65,2,0)," ")</f>
        <v>PM/0131/0108/45990160207</v>
      </c>
      <c r="AB699" s="144" t="s">
        <v>120</v>
      </c>
      <c r="AC699" s="309" t="s">
        <v>204</v>
      </c>
    </row>
    <row r="700" spans="2:29" ht="56" x14ac:dyDescent="0.35">
      <c r="B700" s="145">
        <v>20250783</v>
      </c>
      <c r="C700" s="148" t="s">
        <v>208</v>
      </c>
      <c r="D700" s="312" t="s">
        <v>164</v>
      </c>
      <c r="E700" s="313" t="s">
        <v>389</v>
      </c>
      <c r="F700" s="246" t="s">
        <v>703</v>
      </c>
      <c r="G700" s="308" t="s">
        <v>155</v>
      </c>
      <c r="H700" s="93">
        <v>80111600</v>
      </c>
      <c r="I700" s="247">
        <v>8</v>
      </c>
      <c r="J700" s="247">
        <v>3</v>
      </c>
      <c r="K700" s="52">
        <v>0</v>
      </c>
      <c r="L700" s="53">
        <v>30000000</v>
      </c>
      <c r="M700" s="146" t="s">
        <v>464</v>
      </c>
      <c r="N700" s="147" t="s">
        <v>113</v>
      </c>
      <c r="O700" s="313" t="s">
        <v>219</v>
      </c>
      <c r="P700" s="311" t="str">
        <f>IFERROR(VLOOKUP(C700,TD!$B$33:$F$37,2,0)," ")</f>
        <v>O230117</v>
      </c>
      <c r="Q700" s="311" t="str">
        <f>IFERROR(VLOOKUP(C700,TD!$B$33:$F$37,3,0)," ")</f>
        <v>4599</v>
      </c>
      <c r="R700" s="311">
        <f>IFERROR(VLOOKUP(C700,TD!$B$33:$F$37,4,0)," ")</f>
        <v>20240207</v>
      </c>
      <c r="S700" s="313" t="s">
        <v>185</v>
      </c>
      <c r="T700" s="254" t="str">
        <f>IFERROR(VLOOKUP(S700,TD!$J$34:$K$44,2,0)," ")</f>
        <v>Infraestructura física, mantenimiento y dotación (Sedes construidas, mantenidas reforzadas)</v>
      </c>
      <c r="U700" s="249" t="str">
        <f>CONCATENATE(S700,"-",T700)</f>
        <v>08-Infraestructura física, mantenimiento y dotación (Sedes construidas, mantenidas reforzadas)</v>
      </c>
      <c r="V700" s="51" t="s">
        <v>238</v>
      </c>
      <c r="W700" s="254" t="str">
        <f>IFERROR(VLOOKUP(V700,TD!$N$34:$O$46,2,0)," ")</f>
        <v>Sedes mantenidas</v>
      </c>
      <c r="X700" s="249" t="str">
        <f>CONCATENATE(V700,"_",W700)</f>
        <v>016_Sedes mantenidas</v>
      </c>
      <c r="Y700" s="249" t="str">
        <f>CONCATENATE(U700," ",X700)</f>
        <v>08-Infraestructura física, mantenimiento y dotación (Sedes construidas, mantenidas reforzadas) 016_Sedes mantenidas</v>
      </c>
      <c r="Z700" s="311" t="str">
        <f>CONCATENATE(P700,Q700,R700,S700,V700)</f>
        <v>O23011745992024020708016</v>
      </c>
      <c r="AA700" s="311" t="str">
        <f>IFERROR(VLOOKUP(Y700,TD!$K$47:$L$65,2,0)," ")</f>
        <v>PM/0131/0108/45990160207</v>
      </c>
      <c r="AB700" s="144" t="s">
        <v>120</v>
      </c>
      <c r="AC700" s="309" t="s">
        <v>204</v>
      </c>
    </row>
    <row r="701" spans="2:29" ht="56" x14ac:dyDescent="0.35">
      <c r="B701" s="145">
        <v>20250784</v>
      </c>
      <c r="C701" s="148" t="s">
        <v>208</v>
      </c>
      <c r="D701" s="312" t="s">
        <v>164</v>
      </c>
      <c r="E701" s="313" t="s">
        <v>389</v>
      </c>
      <c r="F701" s="246" t="s">
        <v>703</v>
      </c>
      <c r="G701" s="308" t="s">
        <v>155</v>
      </c>
      <c r="H701" s="93">
        <v>80111600</v>
      </c>
      <c r="I701" s="247">
        <v>8</v>
      </c>
      <c r="J701" s="247">
        <v>3</v>
      </c>
      <c r="K701" s="52">
        <v>0</v>
      </c>
      <c r="L701" s="53">
        <v>45000000</v>
      </c>
      <c r="M701" s="146" t="s">
        <v>464</v>
      </c>
      <c r="N701" s="147" t="s">
        <v>113</v>
      </c>
      <c r="O701" s="313" t="s">
        <v>219</v>
      </c>
      <c r="P701" s="311" t="str">
        <f>IFERROR(VLOOKUP(C701,TD!$B$33:$F$37,2,0)," ")</f>
        <v>O230117</v>
      </c>
      <c r="Q701" s="311" t="str">
        <f>IFERROR(VLOOKUP(C701,TD!$B$33:$F$37,3,0)," ")</f>
        <v>4599</v>
      </c>
      <c r="R701" s="311">
        <f>IFERROR(VLOOKUP(C701,TD!$B$33:$F$37,4,0)," ")</f>
        <v>20240207</v>
      </c>
      <c r="S701" s="313" t="s">
        <v>185</v>
      </c>
      <c r="T701" s="254" t="str">
        <f>IFERROR(VLOOKUP(S701,TD!$J$34:$K$44,2,0)," ")</f>
        <v>Infraestructura física, mantenimiento y dotación (Sedes construidas, mantenidas reforzadas)</v>
      </c>
      <c r="U701" s="249" t="str">
        <f>CONCATENATE(S701,"-",T701)</f>
        <v>08-Infraestructura física, mantenimiento y dotación (Sedes construidas, mantenidas reforzadas)</v>
      </c>
      <c r="V701" s="51" t="s">
        <v>238</v>
      </c>
      <c r="W701" s="254" t="str">
        <f>IFERROR(VLOOKUP(V701,TD!$N$34:$O$46,2,0)," ")</f>
        <v>Sedes mantenidas</v>
      </c>
      <c r="X701" s="249" t="str">
        <f>CONCATENATE(V701,"_",W701)</f>
        <v>016_Sedes mantenidas</v>
      </c>
      <c r="Y701" s="249" t="str">
        <f>CONCATENATE(U701," ",X701)</f>
        <v>08-Infraestructura física, mantenimiento y dotación (Sedes construidas, mantenidas reforzadas) 016_Sedes mantenidas</v>
      </c>
      <c r="Z701" s="311" t="str">
        <f>CONCATENATE(P701,Q701,R701,S701,V701)</f>
        <v>O23011745992024020708016</v>
      </c>
      <c r="AA701" s="311" t="str">
        <f>IFERROR(VLOOKUP(Y701,TD!$K$47:$L$65,2,0)," ")</f>
        <v>PM/0131/0108/45990160207</v>
      </c>
      <c r="AB701" s="144" t="s">
        <v>120</v>
      </c>
      <c r="AC701" s="309" t="s">
        <v>204</v>
      </c>
    </row>
    <row r="702" spans="2:29" ht="56" x14ac:dyDescent="0.35">
      <c r="B702" s="145">
        <v>20250785</v>
      </c>
      <c r="C702" s="148" t="s">
        <v>208</v>
      </c>
      <c r="D702" s="312" t="s">
        <v>164</v>
      </c>
      <c r="E702" s="313" t="s">
        <v>389</v>
      </c>
      <c r="F702" s="246" t="s">
        <v>705</v>
      </c>
      <c r="G702" s="308" t="s">
        <v>155</v>
      </c>
      <c r="H702" s="93">
        <v>80111600</v>
      </c>
      <c r="I702" s="247">
        <v>8</v>
      </c>
      <c r="J702" s="247">
        <v>3</v>
      </c>
      <c r="K702" s="52">
        <v>0</v>
      </c>
      <c r="L702" s="53">
        <v>37200000</v>
      </c>
      <c r="M702" s="146" t="s">
        <v>464</v>
      </c>
      <c r="N702" s="147" t="s">
        <v>113</v>
      </c>
      <c r="O702" s="313" t="s">
        <v>219</v>
      </c>
      <c r="P702" s="311" t="str">
        <f>IFERROR(VLOOKUP(C702,TD!$B$33:$F$37,2,0)," ")</f>
        <v>O230117</v>
      </c>
      <c r="Q702" s="311" t="str">
        <f>IFERROR(VLOOKUP(C702,TD!$B$33:$F$37,3,0)," ")</f>
        <v>4599</v>
      </c>
      <c r="R702" s="311">
        <f>IFERROR(VLOOKUP(C702,TD!$B$33:$F$37,4,0)," ")</f>
        <v>20240207</v>
      </c>
      <c r="S702" s="313" t="s">
        <v>185</v>
      </c>
      <c r="T702" s="254" t="str">
        <f>IFERROR(VLOOKUP(S702,TD!$J$34:$K$44,2,0)," ")</f>
        <v>Infraestructura física, mantenimiento y dotación (Sedes construidas, mantenidas reforzadas)</v>
      </c>
      <c r="U702" s="249" t="str">
        <f>CONCATENATE(S702,"-",T702)</f>
        <v>08-Infraestructura física, mantenimiento y dotación (Sedes construidas, mantenidas reforzadas)</v>
      </c>
      <c r="V702" s="51" t="s">
        <v>238</v>
      </c>
      <c r="W702" s="254" t="str">
        <f>IFERROR(VLOOKUP(V702,TD!$N$34:$O$46,2,0)," ")</f>
        <v>Sedes mantenidas</v>
      </c>
      <c r="X702" s="249" t="str">
        <f>CONCATENATE(V702,"_",W702)</f>
        <v>016_Sedes mantenidas</v>
      </c>
      <c r="Y702" s="249" t="str">
        <f>CONCATENATE(U702," ",X702)</f>
        <v>08-Infraestructura física, mantenimiento y dotación (Sedes construidas, mantenidas reforzadas) 016_Sedes mantenidas</v>
      </c>
      <c r="Z702" s="311" t="str">
        <f>CONCATENATE(P702,Q702,R702,S702,V702)</f>
        <v>O23011745992024020708016</v>
      </c>
      <c r="AA702" s="311" t="str">
        <f>IFERROR(VLOOKUP(Y702,TD!$K$47:$L$65,2,0)," ")</f>
        <v>PM/0131/0108/45990160207</v>
      </c>
      <c r="AB702" s="144" t="s">
        <v>138</v>
      </c>
      <c r="AC702" s="309" t="s">
        <v>204</v>
      </c>
    </row>
    <row r="703" spans="2:29" ht="56" x14ac:dyDescent="0.35">
      <c r="B703" s="145">
        <v>20250786</v>
      </c>
      <c r="C703" s="148" t="s">
        <v>208</v>
      </c>
      <c r="D703" s="312" t="s">
        <v>164</v>
      </c>
      <c r="E703" s="313" t="s">
        <v>389</v>
      </c>
      <c r="F703" s="246" t="s">
        <v>705</v>
      </c>
      <c r="G703" s="308" t="s">
        <v>155</v>
      </c>
      <c r="H703" s="93">
        <v>80111600</v>
      </c>
      <c r="I703" s="247">
        <v>8</v>
      </c>
      <c r="J703" s="247">
        <v>3</v>
      </c>
      <c r="K703" s="52">
        <v>0</v>
      </c>
      <c r="L703" s="53">
        <v>23750000</v>
      </c>
      <c r="M703" s="136" t="s">
        <v>464</v>
      </c>
      <c r="N703" s="147" t="s">
        <v>113</v>
      </c>
      <c r="O703" s="313" t="s">
        <v>219</v>
      </c>
      <c r="P703" s="311" t="str">
        <f>IFERROR(VLOOKUP(C703,TD!$B$33:$F$37,2,0)," ")</f>
        <v>O230117</v>
      </c>
      <c r="Q703" s="311" t="str">
        <f>IFERROR(VLOOKUP(C703,TD!$B$33:$F$37,3,0)," ")</f>
        <v>4599</v>
      </c>
      <c r="R703" s="311">
        <f>IFERROR(VLOOKUP(C703,TD!$B$33:$F$37,4,0)," ")</f>
        <v>20240207</v>
      </c>
      <c r="S703" s="313" t="s">
        <v>185</v>
      </c>
      <c r="T703" s="254" t="str">
        <f>IFERROR(VLOOKUP(S703,TD!$J$34:$K$44,2,0)," ")</f>
        <v>Infraestructura física, mantenimiento y dotación (Sedes construidas, mantenidas reforzadas)</v>
      </c>
      <c r="U703" s="249" t="str">
        <f>CONCATENATE(S703,"-",T703)</f>
        <v>08-Infraestructura física, mantenimiento y dotación (Sedes construidas, mantenidas reforzadas)</v>
      </c>
      <c r="V703" s="51" t="s">
        <v>238</v>
      </c>
      <c r="W703" s="254" t="str">
        <f>IFERROR(VLOOKUP(V703,TD!$N$34:$O$46,2,0)," ")</f>
        <v>Sedes mantenidas</v>
      </c>
      <c r="X703" s="249" t="str">
        <f>CONCATENATE(V703,"_",W703)</f>
        <v>016_Sedes mantenidas</v>
      </c>
      <c r="Y703" s="249" t="str">
        <f>CONCATENATE(U703," ",X703)</f>
        <v>08-Infraestructura física, mantenimiento y dotación (Sedes construidas, mantenidas reforzadas) 016_Sedes mantenidas</v>
      </c>
      <c r="Z703" s="311" t="str">
        <f>CONCATENATE(P703,Q703,R703,S703,V703)</f>
        <v>O23011745992024020708016</v>
      </c>
      <c r="AA703" s="311" t="str">
        <f>IFERROR(VLOOKUP(Y703,TD!$K$47:$L$65,2,0)," ")</f>
        <v>PM/0131/0108/45990160207</v>
      </c>
      <c r="AB703" s="144" t="s">
        <v>138</v>
      </c>
      <c r="AC703" s="309" t="s">
        <v>204</v>
      </c>
    </row>
    <row r="704" spans="2:29" ht="56" x14ac:dyDescent="0.35">
      <c r="B704" s="145">
        <v>20250787</v>
      </c>
      <c r="C704" s="148" t="s">
        <v>208</v>
      </c>
      <c r="D704" s="312" t="s">
        <v>164</v>
      </c>
      <c r="E704" s="313" t="s">
        <v>389</v>
      </c>
      <c r="F704" s="246" t="s">
        <v>705</v>
      </c>
      <c r="G704" s="308" t="s">
        <v>155</v>
      </c>
      <c r="H704" s="93">
        <v>80111600</v>
      </c>
      <c r="I704" s="247">
        <v>8</v>
      </c>
      <c r="J704" s="247">
        <v>3</v>
      </c>
      <c r="K704" s="52">
        <v>0</v>
      </c>
      <c r="L704" s="53">
        <v>34100000</v>
      </c>
      <c r="M704" s="146" t="s">
        <v>464</v>
      </c>
      <c r="N704" s="147" t="s">
        <v>113</v>
      </c>
      <c r="O704" s="313" t="s">
        <v>219</v>
      </c>
      <c r="P704" s="311" t="str">
        <f>IFERROR(VLOOKUP(C704,TD!$B$33:$F$37,2,0)," ")</f>
        <v>O230117</v>
      </c>
      <c r="Q704" s="311" t="str">
        <f>IFERROR(VLOOKUP(C704,TD!$B$33:$F$37,3,0)," ")</f>
        <v>4599</v>
      </c>
      <c r="R704" s="311">
        <f>IFERROR(VLOOKUP(C704,TD!$B$33:$F$37,4,0)," ")</f>
        <v>20240207</v>
      </c>
      <c r="S704" s="313" t="s">
        <v>185</v>
      </c>
      <c r="T704" s="254" t="str">
        <f>IFERROR(VLOOKUP(S704,TD!$J$34:$K$44,2,0)," ")</f>
        <v>Infraestructura física, mantenimiento y dotación (Sedes construidas, mantenidas reforzadas)</v>
      </c>
      <c r="U704" s="249" t="str">
        <f>CONCATENATE(S704,"-",T704)</f>
        <v>08-Infraestructura física, mantenimiento y dotación (Sedes construidas, mantenidas reforzadas)</v>
      </c>
      <c r="V704" s="51" t="s">
        <v>238</v>
      </c>
      <c r="W704" s="254" t="str">
        <f>IFERROR(VLOOKUP(V704,TD!$N$34:$O$46,2,0)," ")</f>
        <v>Sedes mantenidas</v>
      </c>
      <c r="X704" s="249" t="str">
        <f>CONCATENATE(V704,"_",W704)</f>
        <v>016_Sedes mantenidas</v>
      </c>
      <c r="Y704" s="249" t="str">
        <f>CONCATENATE(U704," ",X704)</f>
        <v>08-Infraestructura física, mantenimiento y dotación (Sedes construidas, mantenidas reforzadas) 016_Sedes mantenidas</v>
      </c>
      <c r="Z704" s="311" t="str">
        <f>CONCATENATE(P704,Q704,R704,S704,V704)</f>
        <v>O23011745992024020708016</v>
      </c>
      <c r="AA704" s="311" t="str">
        <f>IFERROR(VLOOKUP(Y704,TD!$K$47:$L$65,2,0)," ")</f>
        <v>PM/0131/0108/45990160207</v>
      </c>
      <c r="AB704" s="144" t="s">
        <v>138</v>
      </c>
      <c r="AC704" s="309" t="s">
        <v>204</v>
      </c>
    </row>
    <row r="705" spans="2:29" ht="70" x14ac:dyDescent="0.35">
      <c r="B705" s="145">
        <v>20250788</v>
      </c>
      <c r="C705" s="148" t="s">
        <v>208</v>
      </c>
      <c r="D705" s="312" t="s">
        <v>164</v>
      </c>
      <c r="E705" s="313" t="s">
        <v>389</v>
      </c>
      <c r="F705" s="246" t="s">
        <v>705</v>
      </c>
      <c r="G705" s="308" t="s">
        <v>155</v>
      </c>
      <c r="H705" s="93">
        <v>80111600</v>
      </c>
      <c r="I705" s="247">
        <v>8</v>
      </c>
      <c r="J705" s="247">
        <v>3</v>
      </c>
      <c r="K705" s="52">
        <v>0</v>
      </c>
      <c r="L705" s="53">
        <v>26660000</v>
      </c>
      <c r="M705" s="146" t="s">
        <v>464</v>
      </c>
      <c r="N705" s="147" t="s">
        <v>113</v>
      </c>
      <c r="O705" s="313" t="s">
        <v>219</v>
      </c>
      <c r="P705" s="311" t="str">
        <f>IFERROR(VLOOKUP(C705,TD!$B$33:$F$37,2,0)," ")</f>
        <v>O230117</v>
      </c>
      <c r="Q705" s="311" t="str">
        <f>IFERROR(VLOOKUP(C705,TD!$B$33:$F$37,3,0)," ")</f>
        <v>4599</v>
      </c>
      <c r="R705" s="311">
        <f>IFERROR(VLOOKUP(C705,TD!$B$33:$F$37,4,0)," ")</f>
        <v>20240207</v>
      </c>
      <c r="S705" s="313" t="s">
        <v>185</v>
      </c>
      <c r="T705" s="254" t="str">
        <f>IFERROR(VLOOKUP(S705,TD!$J$34:$K$44,2,0)," ")</f>
        <v>Infraestructura física, mantenimiento y dotación (Sedes construidas, mantenidas reforzadas)</v>
      </c>
      <c r="U705" s="249" t="str">
        <f>CONCATENATE(S705,"-",T705)</f>
        <v>08-Infraestructura física, mantenimiento y dotación (Sedes construidas, mantenidas reforzadas)</v>
      </c>
      <c r="V705" s="51" t="s">
        <v>238</v>
      </c>
      <c r="W705" s="254" t="str">
        <f>IFERROR(VLOOKUP(V705,TD!$N$34:$O$46,2,0)," ")</f>
        <v>Sedes mantenidas</v>
      </c>
      <c r="X705" s="249" t="str">
        <f>CONCATENATE(V705,"_",W705)</f>
        <v>016_Sedes mantenidas</v>
      </c>
      <c r="Y705" s="249" t="str">
        <f>CONCATENATE(U705," ",X705)</f>
        <v>08-Infraestructura física, mantenimiento y dotación (Sedes construidas, mantenidas reforzadas) 016_Sedes mantenidas</v>
      </c>
      <c r="Z705" s="311" t="str">
        <f>CONCATENATE(P705,Q705,R705,S705,V705)</f>
        <v>O23011745992024020708016</v>
      </c>
      <c r="AA705" s="311" t="str">
        <f>IFERROR(VLOOKUP(Y705,TD!$K$47:$L$65,2,0)," ")</f>
        <v>PM/0131/0108/45990160207</v>
      </c>
      <c r="AB705" s="144" t="s">
        <v>138</v>
      </c>
      <c r="AC705" s="309" t="s">
        <v>204</v>
      </c>
    </row>
    <row r="706" spans="2:29" ht="56" x14ac:dyDescent="0.35">
      <c r="B706" s="145">
        <v>20250789</v>
      </c>
      <c r="C706" s="148" t="s">
        <v>208</v>
      </c>
      <c r="D706" s="312" t="s">
        <v>164</v>
      </c>
      <c r="E706" s="313" t="s">
        <v>389</v>
      </c>
      <c r="F706" s="246" t="s">
        <v>388</v>
      </c>
      <c r="G706" s="308" t="s">
        <v>155</v>
      </c>
      <c r="H706" s="93">
        <v>80111600</v>
      </c>
      <c r="I706" s="247">
        <v>8</v>
      </c>
      <c r="J706" s="247">
        <v>3</v>
      </c>
      <c r="K706" s="52">
        <v>0</v>
      </c>
      <c r="L706" s="53">
        <f>91850000-50100000</f>
        <v>41750000</v>
      </c>
      <c r="M706" s="146" t="s">
        <v>464</v>
      </c>
      <c r="N706" s="147" t="s">
        <v>113</v>
      </c>
      <c r="O706" s="313" t="s">
        <v>219</v>
      </c>
      <c r="P706" s="311" t="str">
        <f>IFERROR(VLOOKUP(C706,TD!$B$33:$F$37,2,0)," ")</f>
        <v>O230117</v>
      </c>
      <c r="Q706" s="311" t="str">
        <f>IFERROR(VLOOKUP(C706,TD!$B$33:$F$37,3,0)," ")</f>
        <v>4599</v>
      </c>
      <c r="R706" s="311">
        <f>IFERROR(VLOOKUP(C706,TD!$B$33:$F$37,4,0)," ")</f>
        <v>20240207</v>
      </c>
      <c r="S706" s="313" t="s">
        <v>185</v>
      </c>
      <c r="T706" s="254" t="str">
        <f>IFERROR(VLOOKUP(S706,TD!$J$34:$K$44,2,0)," ")</f>
        <v>Infraestructura física, mantenimiento y dotación (Sedes construidas, mantenidas reforzadas)</v>
      </c>
      <c r="U706" s="249" t="str">
        <f>CONCATENATE(S706,"-",T706)</f>
        <v>08-Infraestructura física, mantenimiento y dotación (Sedes construidas, mantenidas reforzadas)</v>
      </c>
      <c r="V706" s="51" t="s">
        <v>238</v>
      </c>
      <c r="W706" s="254" t="str">
        <f>IFERROR(VLOOKUP(V706,TD!$N$34:$O$46,2,0)," ")</f>
        <v>Sedes mantenidas</v>
      </c>
      <c r="X706" s="249" t="str">
        <f>CONCATENATE(V706,"_",W706)</f>
        <v>016_Sedes mantenidas</v>
      </c>
      <c r="Y706" s="249" t="str">
        <f>CONCATENATE(U706," ",X706)</f>
        <v>08-Infraestructura física, mantenimiento y dotación (Sedes construidas, mantenidas reforzadas) 016_Sedes mantenidas</v>
      </c>
      <c r="Z706" s="311" t="str">
        <f>CONCATENATE(P706,Q706,R706,S706,V706)</f>
        <v>O23011745992024020708016</v>
      </c>
      <c r="AA706" s="311" t="str">
        <f>IFERROR(VLOOKUP(Y706,TD!$K$47:$L$65,2,0)," ")</f>
        <v>PM/0131/0108/45990160207</v>
      </c>
      <c r="AB706" s="144" t="s">
        <v>138</v>
      </c>
      <c r="AC706" s="309" t="s">
        <v>204</v>
      </c>
    </row>
    <row r="707" spans="2:29" ht="56" x14ac:dyDescent="0.35">
      <c r="B707" s="145">
        <v>20250790</v>
      </c>
      <c r="C707" s="148" t="s">
        <v>208</v>
      </c>
      <c r="D707" s="312" t="s">
        <v>164</v>
      </c>
      <c r="E707" s="313" t="s">
        <v>389</v>
      </c>
      <c r="F707" s="246" t="s">
        <v>1360</v>
      </c>
      <c r="G707" s="308" t="s">
        <v>155</v>
      </c>
      <c r="H707" s="93">
        <v>80111600</v>
      </c>
      <c r="I707" s="247">
        <v>8</v>
      </c>
      <c r="J707" s="247">
        <v>3</v>
      </c>
      <c r="K707" s="52">
        <v>0</v>
      </c>
      <c r="L707" s="125">
        <v>90300000</v>
      </c>
      <c r="M707" s="146" t="s">
        <v>464</v>
      </c>
      <c r="N707" s="147" t="s">
        <v>113</v>
      </c>
      <c r="O707" s="313" t="s">
        <v>219</v>
      </c>
      <c r="P707" s="311" t="str">
        <f>IFERROR(VLOOKUP(C707,TD!$B$33:$F$37,2,0)," ")</f>
        <v>O230117</v>
      </c>
      <c r="Q707" s="311" t="str">
        <f>IFERROR(VLOOKUP(C707,TD!$B$33:$F$37,3,0)," ")</f>
        <v>4599</v>
      </c>
      <c r="R707" s="311">
        <f>IFERROR(VLOOKUP(C707,TD!$B$33:$F$37,4,0)," ")</f>
        <v>20240207</v>
      </c>
      <c r="S707" s="313" t="s">
        <v>185</v>
      </c>
      <c r="T707" s="254" t="str">
        <f>IFERROR(VLOOKUP(S707,TD!$J$34:$K$44,2,0)," ")</f>
        <v>Infraestructura física, mantenimiento y dotación (Sedes construidas, mantenidas reforzadas)</v>
      </c>
      <c r="U707" s="249" t="str">
        <f>CONCATENATE(S707,"-",T707)</f>
        <v>08-Infraestructura física, mantenimiento y dotación (Sedes construidas, mantenidas reforzadas)</v>
      </c>
      <c r="V707" s="51" t="s">
        <v>238</v>
      </c>
      <c r="W707" s="254" t="str">
        <f>IFERROR(VLOOKUP(V707,TD!$N$34:$O$46,2,0)," ")</f>
        <v>Sedes mantenidas</v>
      </c>
      <c r="X707" s="249" t="str">
        <f>CONCATENATE(V707,"_",W707)</f>
        <v>016_Sedes mantenidas</v>
      </c>
      <c r="Y707" s="249" t="str">
        <f>CONCATENATE(U707," ",X707)</f>
        <v>08-Infraestructura física, mantenimiento y dotación (Sedes construidas, mantenidas reforzadas) 016_Sedes mantenidas</v>
      </c>
      <c r="Z707" s="311" t="str">
        <f>CONCATENATE(P707,Q707,R707,S707,V707)</f>
        <v>O23011745992024020708016</v>
      </c>
      <c r="AA707" s="311" t="str">
        <f>IFERROR(VLOOKUP(Y707,TD!$K$47:$L$65,2,0)," ")</f>
        <v>PM/0131/0108/45990160207</v>
      </c>
      <c r="AB707" s="144" t="s">
        <v>120</v>
      </c>
      <c r="AC707" s="309" t="s">
        <v>205</v>
      </c>
    </row>
    <row r="708" spans="2:29" ht="56" x14ac:dyDescent="0.35">
      <c r="B708" s="145">
        <v>20250791</v>
      </c>
      <c r="C708" s="148" t="s">
        <v>208</v>
      </c>
      <c r="D708" s="312" t="s">
        <v>164</v>
      </c>
      <c r="E708" s="313" t="s">
        <v>389</v>
      </c>
      <c r="F708" s="246" t="s">
        <v>706</v>
      </c>
      <c r="G708" s="308" t="s">
        <v>156</v>
      </c>
      <c r="H708" s="93">
        <v>80111600</v>
      </c>
      <c r="I708" s="247">
        <v>8</v>
      </c>
      <c r="J708" s="247">
        <v>3</v>
      </c>
      <c r="K708" s="52">
        <v>0</v>
      </c>
      <c r="L708" s="53">
        <v>13600000</v>
      </c>
      <c r="M708" s="146" t="s">
        <v>464</v>
      </c>
      <c r="N708" s="147" t="s">
        <v>113</v>
      </c>
      <c r="O708" s="313" t="s">
        <v>219</v>
      </c>
      <c r="P708" s="311" t="str">
        <f>IFERROR(VLOOKUP(C708,TD!$B$33:$F$37,2,0)," ")</f>
        <v>O230117</v>
      </c>
      <c r="Q708" s="311" t="str">
        <f>IFERROR(VLOOKUP(C708,TD!$B$33:$F$37,3,0)," ")</f>
        <v>4599</v>
      </c>
      <c r="R708" s="311">
        <f>IFERROR(VLOOKUP(C708,TD!$B$33:$F$37,4,0)," ")</f>
        <v>20240207</v>
      </c>
      <c r="S708" s="313" t="s">
        <v>185</v>
      </c>
      <c r="T708" s="254" t="str">
        <f>IFERROR(VLOOKUP(S708,TD!$J$34:$K$44,2,0)," ")</f>
        <v>Infraestructura física, mantenimiento y dotación (Sedes construidas, mantenidas reforzadas)</v>
      </c>
      <c r="U708" s="249" t="str">
        <f>CONCATENATE(S708,"-",T708)</f>
        <v>08-Infraestructura física, mantenimiento y dotación (Sedes construidas, mantenidas reforzadas)</v>
      </c>
      <c r="V708" s="51" t="s">
        <v>238</v>
      </c>
      <c r="W708" s="254" t="str">
        <f>IFERROR(VLOOKUP(V708,TD!$N$34:$O$46,2,0)," ")</f>
        <v>Sedes mantenidas</v>
      </c>
      <c r="X708" s="249" t="str">
        <f>CONCATENATE(V708,"_",W708)</f>
        <v>016_Sedes mantenidas</v>
      </c>
      <c r="Y708" s="249" t="str">
        <f>CONCATENATE(U708," ",X708)</f>
        <v>08-Infraestructura física, mantenimiento y dotación (Sedes construidas, mantenidas reforzadas) 016_Sedes mantenidas</v>
      </c>
      <c r="Z708" s="311" t="str">
        <f>CONCATENATE(P708,Q708,R708,S708,V708)</f>
        <v>O23011745992024020708016</v>
      </c>
      <c r="AA708" s="311" t="str">
        <f>IFERROR(VLOOKUP(Y708,TD!$K$47:$L$65,2,0)," ")</f>
        <v>PM/0131/0108/45990160207</v>
      </c>
      <c r="AB708" s="144" t="s">
        <v>138</v>
      </c>
      <c r="AC708" s="309" t="s">
        <v>204</v>
      </c>
    </row>
    <row r="709" spans="2:29" ht="56" x14ac:dyDescent="0.35">
      <c r="B709" s="145">
        <v>20250792</v>
      </c>
      <c r="C709" s="148" t="s">
        <v>208</v>
      </c>
      <c r="D709" s="312" t="s">
        <v>164</v>
      </c>
      <c r="E709" s="313" t="s">
        <v>389</v>
      </c>
      <c r="F709" s="246" t="s">
        <v>459</v>
      </c>
      <c r="G709" s="308" t="s">
        <v>156</v>
      </c>
      <c r="H709" s="93">
        <v>80111600</v>
      </c>
      <c r="I709" s="247">
        <v>8</v>
      </c>
      <c r="J709" s="247">
        <v>3</v>
      </c>
      <c r="K709" s="52">
        <v>0</v>
      </c>
      <c r="L709" s="53">
        <v>13600000</v>
      </c>
      <c r="M709" s="146" t="s">
        <v>464</v>
      </c>
      <c r="N709" s="147" t="s">
        <v>113</v>
      </c>
      <c r="O709" s="313" t="s">
        <v>219</v>
      </c>
      <c r="P709" s="311" t="str">
        <f>IFERROR(VLOOKUP(C709,TD!$B$33:$F$37,2,0)," ")</f>
        <v>O230117</v>
      </c>
      <c r="Q709" s="311" t="str">
        <f>IFERROR(VLOOKUP(C709,TD!$B$33:$F$37,3,0)," ")</f>
        <v>4599</v>
      </c>
      <c r="R709" s="311">
        <f>IFERROR(VLOOKUP(C709,TD!$B$33:$F$37,4,0)," ")</f>
        <v>20240207</v>
      </c>
      <c r="S709" s="313" t="s">
        <v>185</v>
      </c>
      <c r="T709" s="254" t="str">
        <f>IFERROR(VLOOKUP(S709,TD!$J$34:$K$44,2,0)," ")</f>
        <v>Infraestructura física, mantenimiento y dotación (Sedes construidas, mantenidas reforzadas)</v>
      </c>
      <c r="U709" s="249" t="str">
        <f>CONCATENATE(S709,"-",T709)</f>
        <v>08-Infraestructura física, mantenimiento y dotación (Sedes construidas, mantenidas reforzadas)</v>
      </c>
      <c r="V709" s="51" t="s">
        <v>238</v>
      </c>
      <c r="W709" s="254" t="str">
        <f>IFERROR(VLOOKUP(V709,TD!$N$34:$O$46,2,0)," ")</f>
        <v>Sedes mantenidas</v>
      </c>
      <c r="X709" s="249" t="str">
        <f>CONCATENATE(V709,"_",W709)</f>
        <v>016_Sedes mantenidas</v>
      </c>
      <c r="Y709" s="249" t="str">
        <f>CONCATENATE(U709," ",X709)</f>
        <v>08-Infraestructura física, mantenimiento y dotación (Sedes construidas, mantenidas reforzadas) 016_Sedes mantenidas</v>
      </c>
      <c r="Z709" s="311" t="str">
        <f>CONCATENATE(P709,Q709,R709,S709,V709)</f>
        <v>O23011745992024020708016</v>
      </c>
      <c r="AA709" s="311" t="str">
        <f>IFERROR(VLOOKUP(Y709,TD!$K$47:$L$65,2,0)," ")</f>
        <v>PM/0131/0108/45990160207</v>
      </c>
      <c r="AB709" s="144" t="s">
        <v>138</v>
      </c>
      <c r="AC709" s="309" t="s">
        <v>204</v>
      </c>
    </row>
    <row r="710" spans="2:29" ht="56" x14ac:dyDescent="0.35">
      <c r="B710" s="145">
        <v>20250793</v>
      </c>
      <c r="C710" s="148" t="s">
        <v>208</v>
      </c>
      <c r="D710" s="312" t="s">
        <v>164</v>
      </c>
      <c r="E710" s="313" t="s">
        <v>389</v>
      </c>
      <c r="F710" s="246" t="s">
        <v>459</v>
      </c>
      <c r="G710" s="308" t="s">
        <v>156</v>
      </c>
      <c r="H710" s="93">
        <v>80111600</v>
      </c>
      <c r="I710" s="247">
        <v>8</v>
      </c>
      <c r="J710" s="247">
        <v>3</v>
      </c>
      <c r="K710" s="52">
        <v>0</v>
      </c>
      <c r="L710" s="53">
        <v>13600000</v>
      </c>
      <c r="M710" s="146" t="s">
        <v>464</v>
      </c>
      <c r="N710" s="147" t="s">
        <v>113</v>
      </c>
      <c r="O710" s="313" t="s">
        <v>219</v>
      </c>
      <c r="P710" s="311" t="str">
        <f>IFERROR(VLOOKUP(C710,TD!$B$33:$F$37,2,0)," ")</f>
        <v>O230117</v>
      </c>
      <c r="Q710" s="311" t="str">
        <f>IFERROR(VLOOKUP(C710,TD!$B$33:$F$37,3,0)," ")</f>
        <v>4599</v>
      </c>
      <c r="R710" s="311">
        <f>IFERROR(VLOOKUP(C710,TD!$B$33:$F$37,4,0)," ")</f>
        <v>20240207</v>
      </c>
      <c r="S710" s="313" t="s">
        <v>185</v>
      </c>
      <c r="T710" s="254" t="str">
        <f>IFERROR(VLOOKUP(S710,TD!$J$34:$K$44,2,0)," ")</f>
        <v>Infraestructura física, mantenimiento y dotación (Sedes construidas, mantenidas reforzadas)</v>
      </c>
      <c r="U710" s="249" t="str">
        <f>CONCATENATE(S710,"-",T710)</f>
        <v>08-Infraestructura física, mantenimiento y dotación (Sedes construidas, mantenidas reforzadas)</v>
      </c>
      <c r="V710" s="51" t="s">
        <v>238</v>
      </c>
      <c r="W710" s="254" t="str">
        <f>IFERROR(VLOOKUP(V710,TD!$N$34:$O$46,2,0)," ")</f>
        <v>Sedes mantenidas</v>
      </c>
      <c r="X710" s="249" t="str">
        <f>CONCATENATE(V710,"_",W710)</f>
        <v>016_Sedes mantenidas</v>
      </c>
      <c r="Y710" s="249" t="str">
        <f>CONCATENATE(U710," ",X710)</f>
        <v>08-Infraestructura física, mantenimiento y dotación (Sedes construidas, mantenidas reforzadas) 016_Sedes mantenidas</v>
      </c>
      <c r="Z710" s="311" t="str">
        <f>CONCATENATE(P710,Q710,R710,S710,V710)</f>
        <v>O23011745992024020708016</v>
      </c>
      <c r="AA710" s="311" t="str">
        <f>IFERROR(VLOOKUP(Y710,TD!$K$47:$L$65,2,0)," ")</f>
        <v>PM/0131/0108/45990160207</v>
      </c>
      <c r="AB710" s="144" t="s">
        <v>138</v>
      </c>
      <c r="AC710" s="309" t="s">
        <v>204</v>
      </c>
    </row>
    <row r="711" spans="2:29" ht="56" x14ac:dyDescent="0.35">
      <c r="B711" s="145">
        <v>20250794</v>
      </c>
      <c r="C711" s="148" t="s">
        <v>208</v>
      </c>
      <c r="D711" s="312" t="s">
        <v>164</v>
      </c>
      <c r="E711" s="313" t="s">
        <v>389</v>
      </c>
      <c r="F711" s="246" t="s">
        <v>707</v>
      </c>
      <c r="G711" s="308" t="s">
        <v>155</v>
      </c>
      <c r="H711" s="93">
        <v>80111600</v>
      </c>
      <c r="I711" s="247">
        <v>8</v>
      </c>
      <c r="J711" s="247">
        <v>6</v>
      </c>
      <c r="K711" s="52">
        <v>0</v>
      </c>
      <c r="L711" s="53">
        <v>42000000</v>
      </c>
      <c r="M711" s="146" t="s">
        <v>464</v>
      </c>
      <c r="N711" s="147" t="s">
        <v>113</v>
      </c>
      <c r="O711" s="313" t="s">
        <v>219</v>
      </c>
      <c r="P711" s="311" t="str">
        <f>IFERROR(VLOOKUP(C711,TD!$B$33:$F$37,2,0)," ")</f>
        <v>O230117</v>
      </c>
      <c r="Q711" s="311" t="str">
        <f>IFERROR(VLOOKUP(C711,TD!$B$33:$F$37,3,0)," ")</f>
        <v>4599</v>
      </c>
      <c r="R711" s="311">
        <f>IFERROR(VLOOKUP(C711,TD!$B$33:$F$37,4,0)," ")</f>
        <v>20240207</v>
      </c>
      <c r="S711" s="313" t="s">
        <v>185</v>
      </c>
      <c r="T711" s="254" t="str">
        <f>IFERROR(VLOOKUP(S711,TD!$J$34:$K$44,2,0)," ")</f>
        <v>Infraestructura física, mantenimiento y dotación (Sedes construidas, mantenidas reforzadas)</v>
      </c>
      <c r="U711" s="249" t="str">
        <f>CONCATENATE(S711,"-",T711)</f>
        <v>08-Infraestructura física, mantenimiento y dotación (Sedes construidas, mantenidas reforzadas)</v>
      </c>
      <c r="V711" s="51" t="s">
        <v>238</v>
      </c>
      <c r="W711" s="254" t="str">
        <f>IFERROR(VLOOKUP(V711,TD!$N$34:$O$46,2,0)," ")</f>
        <v>Sedes mantenidas</v>
      </c>
      <c r="X711" s="249" t="str">
        <f>CONCATENATE(V711,"_",W711)</f>
        <v>016_Sedes mantenidas</v>
      </c>
      <c r="Y711" s="249" t="str">
        <f>CONCATENATE(U711," ",X711)</f>
        <v>08-Infraestructura física, mantenimiento y dotación (Sedes construidas, mantenidas reforzadas) 016_Sedes mantenidas</v>
      </c>
      <c r="Z711" s="311" t="str">
        <f>CONCATENATE(P711,Q711,R711,S711,V711)</f>
        <v>O23011745992024020708016</v>
      </c>
      <c r="AA711" s="311" t="str">
        <f>IFERROR(VLOOKUP(Y711,TD!$K$47:$L$65,2,0)," ")</f>
        <v>PM/0131/0108/45990160207</v>
      </c>
      <c r="AB711" s="144" t="s">
        <v>138</v>
      </c>
      <c r="AC711" s="309" t="s">
        <v>204</v>
      </c>
    </row>
    <row r="712" spans="2:29" ht="56" x14ac:dyDescent="0.35">
      <c r="B712" s="145">
        <v>20250795</v>
      </c>
      <c r="C712" s="148" t="s">
        <v>208</v>
      </c>
      <c r="D712" s="312" t="s">
        <v>164</v>
      </c>
      <c r="E712" s="313" t="s">
        <v>389</v>
      </c>
      <c r="F712" s="246" t="s">
        <v>460</v>
      </c>
      <c r="G712" s="308" t="s">
        <v>155</v>
      </c>
      <c r="H712" s="93">
        <v>80111600</v>
      </c>
      <c r="I712" s="247">
        <v>8</v>
      </c>
      <c r="J712" s="247">
        <v>3</v>
      </c>
      <c r="K712" s="52">
        <v>0</v>
      </c>
      <c r="L712" s="53">
        <v>19500000</v>
      </c>
      <c r="M712" s="146" t="s">
        <v>464</v>
      </c>
      <c r="N712" s="147" t="s">
        <v>113</v>
      </c>
      <c r="O712" s="313" t="s">
        <v>219</v>
      </c>
      <c r="P712" s="311" t="str">
        <f>IFERROR(VLOOKUP(C712,TD!$B$33:$F$37,2,0)," ")</f>
        <v>O230117</v>
      </c>
      <c r="Q712" s="311" t="str">
        <f>IFERROR(VLOOKUP(C712,TD!$B$33:$F$37,3,0)," ")</f>
        <v>4599</v>
      </c>
      <c r="R712" s="311">
        <f>IFERROR(VLOOKUP(C712,TD!$B$33:$F$37,4,0)," ")</f>
        <v>20240207</v>
      </c>
      <c r="S712" s="313" t="s">
        <v>185</v>
      </c>
      <c r="T712" s="254" t="str">
        <f>IFERROR(VLOOKUP(S712,TD!$J$34:$K$44,2,0)," ")</f>
        <v>Infraestructura física, mantenimiento y dotación (Sedes construidas, mantenidas reforzadas)</v>
      </c>
      <c r="U712" s="249" t="str">
        <f>CONCATENATE(S712,"-",T712)</f>
        <v>08-Infraestructura física, mantenimiento y dotación (Sedes construidas, mantenidas reforzadas)</v>
      </c>
      <c r="V712" s="51" t="s">
        <v>238</v>
      </c>
      <c r="W712" s="254" t="str">
        <f>IFERROR(VLOOKUP(V712,TD!$N$34:$O$46,2,0)," ")</f>
        <v>Sedes mantenidas</v>
      </c>
      <c r="X712" s="249" t="str">
        <f>CONCATENATE(V712,"_",W712)</f>
        <v>016_Sedes mantenidas</v>
      </c>
      <c r="Y712" s="249" t="str">
        <f>CONCATENATE(U712," ",X712)</f>
        <v>08-Infraestructura física, mantenimiento y dotación (Sedes construidas, mantenidas reforzadas) 016_Sedes mantenidas</v>
      </c>
      <c r="Z712" s="311" t="str">
        <f>CONCATENATE(P712,Q712,R712,S712,V712)</f>
        <v>O23011745992024020708016</v>
      </c>
      <c r="AA712" s="311" t="str">
        <f>IFERROR(VLOOKUP(Y712,TD!$K$47:$L$65,2,0)," ")</f>
        <v>PM/0131/0108/45990160207</v>
      </c>
      <c r="AB712" s="144" t="s">
        <v>120</v>
      </c>
      <c r="AC712" s="309" t="s">
        <v>204</v>
      </c>
    </row>
    <row r="713" spans="2:29" ht="56" x14ac:dyDescent="0.35">
      <c r="B713" s="145">
        <v>20250796</v>
      </c>
      <c r="C713" s="148" t="s">
        <v>208</v>
      </c>
      <c r="D713" s="312" t="s">
        <v>164</v>
      </c>
      <c r="E713" s="313" t="s">
        <v>389</v>
      </c>
      <c r="F713" s="246" t="s">
        <v>461</v>
      </c>
      <c r="G713" s="308" t="s">
        <v>155</v>
      </c>
      <c r="H713" s="93">
        <v>80111600</v>
      </c>
      <c r="I713" s="247">
        <v>8</v>
      </c>
      <c r="J713" s="247">
        <v>5</v>
      </c>
      <c r="K713" s="52">
        <v>0</v>
      </c>
      <c r="L713" s="53">
        <v>19000000</v>
      </c>
      <c r="M713" s="146" t="s">
        <v>464</v>
      </c>
      <c r="N713" s="147" t="s">
        <v>113</v>
      </c>
      <c r="O713" s="313" t="s">
        <v>219</v>
      </c>
      <c r="P713" s="311" t="str">
        <f>IFERROR(VLOOKUP(C713,TD!$B$33:$F$37,2,0)," ")</f>
        <v>O230117</v>
      </c>
      <c r="Q713" s="311" t="str">
        <f>IFERROR(VLOOKUP(C713,TD!$B$33:$F$37,3,0)," ")</f>
        <v>4599</v>
      </c>
      <c r="R713" s="311">
        <f>IFERROR(VLOOKUP(C713,TD!$B$33:$F$37,4,0)," ")</f>
        <v>20240207</v>
      </c>
      <c r="S713" s="313" t="s">
        <v>185</v>
      </c>
      <c r="T713" s="254" t="str">
        <f>IFERROR(VLOOKUP(S713,TD!$J$34:$K$44,2,0)," ")</f>
        <v>Infraestructura física, mantenimiento y dotación (Sedes construidas, mantenidas reforzadas)</v>
      </c>
      <c r="U713" s="249" t="str">
        <f>CONCATENATE(S713,"-",T713)</f>
        <v>08-Infraestructura física, mantenimiento y dotación (Sedes construidas, mantenidas reforzadas)</v>
      </c>
      <c r="V713" s="51" t="s">
        <v>238</v>
      </c>
      <c r="W713" s="254" t="str">
        <f>IFERROR(VLOOKUP(V713,TD!$N$34:$O$46,2,0)," ")</f>
        <v>Sedes mantenidas</v>
      </c>
      <c r="X713" s="249" t="str">
        <f>CONCATENATE(V713,"_",W713)</f>
        <v>016_Sedes mantenidas</v>
      </c>
      <c r="Y713" s="249" t="str">
        <f>CONCATENATE(U713," ",X713)</f>
        <v>08-Infraestructura física, mantenimiento y dotación (Sedes construidas, mantenidas reforzadas) 016_Sedes mantenidas</v>
      </c>
      <c r="Z713" s="311" t="str">
        <f>CONCATENATE(P713,Q713,R713,S713,V713)</f>
        <v>O23011745992024020708016</v>
      </c>
      <c r="AA713" s="311" t="str">
        <f>IFERROR(VLOOKUP(Y713,TD!$K$47:$L$65,2,0)," ")</f>
        <v>PM/0131/0108/45990160207</v>
      </c>
      <c r="AB713" s="144" t="s">
        <v>138</v>
      </c>
      <c r="AC713" s="309" t="s">
        <v>204</v>
      </c>
    </row>
    <row r="714" spans="2:29" ht="56" x14ac:dyDescent="0.35">
      <c r="B714" s="145">
        <v>20250797</v>
      </c>
      <c r="C714" s="148" t="s">
        <v>208</v>
      </c>
      <c r="D714" s="312" t="s">
        <v>164</v>
      </c>
      <c r="E714" s="313" t="s">
        <v>389</v>
      </c>
      <c r="F714" s="246" t="s">
        <v>461</v>
      </c>
      <c r="G714" s="308" t="s">
        <v>155</v>
      </c>
      <c r="H714" s="93">
        <v>80111600</v>
      </c>
      <c r="I714" s="247">
        <v>8</v>
      </c>
      <c r="J714" s="247">
        <v>5</v>
      </c>
      <c r="K714" s="52">
        <v>0</v>
      </c>
      <c r="L714" s="53">
        <v>23750000</v>
      </c>
      <c r="M714" s="146" t="s">
        <v>464</v>
      </c>
      <c r="N714" s="147" t="s">
        <v>113</v>
      </c>
      <c r="O714" s="313" t="s">
        <v>219</v>
      </c>
      <c r="P714" s="311" t="str">
        <f>IFERROR(VLOOKUP(C714,TD!$B$33:$F$37,2,0)," ")</f>
        <v>O230117</v>
      </c>
      <c r="Q714" s="311" t="str">
        <f>IFERROR(VLOOKUP(C714,TD!$B$33:$F$37,3,0)," ")</f>
        <v>4599</v>
      </c>
      <c r="R714" s="311">
        <f>IFERROR(VLOOKUP(C714,TD!$B$33:$F$37,4,0)," ")</f>
        <v>20240207</v>
      </c>
      <c r="S714" s="313" t="s">
        <v>185</v>
      </c>
      <c r="T714" s="254" t="str">
        <f>IFERROR(VLOOKUP(S714,TD!$J$34:$K$44,2,0)," ")</f>
        <v>Infraestructura física, mantenimiento y dotación (Sedes construidas, mantenidas reforzadas)</v>
      </c>
      <c r="U714" s="249" t="str">
        <f>CONCATENATE(S714,"-",T714)</f>
        <v>08-Infraestructura física, mantenimiento y dotación (Sedes construidas, mantenidas reforzadas)</v>
      </c>
      <c r="V714" s="51" t="s">
        <v>238</v>
      </c>
      <c r="W714" s="254" t="str">
        <f>IFERROR(VLOOKUP(V714,TD!$N$34:$O$46,2,0)," ")</f>
        <v>Sedes mantenidas</v>
      </c>
      <c r="X714" s="249" t="str">
        <f>CONCATENATE(V714,"_",W714)</f>
        <v>016_Sedes mantenidas</v>
      </c>
      <c r="Y714" s="249" t="str">
        <f>CONCATENATE(U714," ",X714)</f>
        <v>08-Infraestructura física, mantenimiento y dotación (Sedes construidas, mantenidas reforzadas) 016_Sedes mantenidas</v>
      </c>
      <c r="Z714" s="311" t="str">
        <f>CONCATENATE(P714,Q714,R714,S714,V714)</f>
        <v>O23011745992024020708016</v>
      </c>
      <c r="AA714" s="311" t="str">
        <f>IFERROR(VLOOKUP(Y714,TD!$K$47:$L$65,2,0)," ")</f>
        <v>PM/0131/0108/45990160207</v>
      </c>
      <c r="AB714" s="144" t="s">
        <v>138</v>
      </c>
      <c r="AC714" s="309" t="s">
        <v>204</v>
      </c>
    </row>
    <row r="715" spans="2:29" ht="98" x14ac:dyDescent="0.35">
      <c r="B715" s="145">
        <v>20250798</v>
      </c>
      <c r="C715" s="148" t="s">
        <v>208</v>
      </c>
      <c r="D715" s="312" t="s">
        <v>164</v>
      </c>
      <c r="E715" s="313" t="s">
        <v>389</v>
      </c>
      <c r="F715" s="246" t="s">
        <v>462</v>
      </c>
      <c r="G715" s="308" t="s">
        <v>155</v>
      </c>
      <c r="H715" s="93">
        <v>80111600</v>
      </c>
      <c r="I715" s="247">
        <v>8</v>
      </c>
      <c r="J715" s="247">
        <v>5</v>
      </c>
      <c r="K715" s="52">
        <v>0</v>
      </c>
      <c r="L715" s="53">
        <v>26000000</v>
      </c>
      <c r="M715" s="146" t="s">
        <v>464</v>
      </c>
      <c r="N715" s="147" t="s">
        <v>113</v>
      </c>
      <c r="O715" s="313" t="s">
        <v>219</v>
      </c>
      <c r="P715" s="311" t="str">
        <f>IFERROR(VLOOKUP(C715,TD!$B$33:$F$37,2,0)," ")</f>
        <v>O230117</v>
      </c>
      <c r="Q715" s="311" t="str">
        <f>IFERROR(VLOOKUP(C715,TD!$B$33:$F$37,3,0)," ")</f>
        <v>4599</v>
      </c>
      <c r="R715" s="311">
        <f>IFERROR(VLOOKUP(C715,TD!$B$33:$F$37,4,0)," ")</f>
        <v>20240207</v>
      </c>
      <c r="S715" s="313" t="s">
        <v>185</v>
      </c>
      <c r="T715" s="254" t="str">
        <f>IFERROR(VLOOKUP(S715,TD!$J$34:$K$44,2,0)," ")</f>
        <v>Infraestructura física, mantenimiento y dotación (Sedes construidas, mantenidas reforzadas)</v>
      </c>
      <c r="U715" s="249" t="str">
        <f>CONCATENATE(S715,"-",T715)</f>
        <v>08-Infraestructura física, mantenimiento y dotación (Sedes construidas, mantenidas reforzadas)</v>
      </c>
      <c r="V715" s="51" t="s">
        <v>238</v>
      </c>
      <c r="W715" s="254" t="str">
        <f>IFERROR(VLOOKUP(V715,TD!$N$34:$O$46,2,0)," ")</f>
        <v>Sedes mantenidas</v>
      </c>
      <c r="X715" s="249" t="str">
        <f>CONCATENATE(V715,"_",W715)</f>
        <v>016_Sedes mantenidas</v>
      </c>
      <c r="Y715" s="249" t="str">
        <f>CONCATENATE(U715," ",X715)</f>
        <v>08-Infraestructura física, mantenimiento y dotación (Sedes construidas, mantenidas reforzadas) 016_Sedes mantenidas</v>
      </c>
      <c r="Z715" s="311" t="str">
        <f>CONCATENATE(P715,Q715,R715,S715,V715)</f>
        <v>O23011745992024020708016</v>
      </c>
      <c r="AA715" s="311" t="str">
        <f>IFERROR(VLOOKUP(Y715,TD!$K$47:$L$65,2,0)," ")</f>
        <v>PM/0131/0108/45990160207</v>
      </c>
      <c r="AB715" s="144" t="s">
        <v>120</v>
      </c>
      <c r="AC715" s="309" t="s">
        <v>204</v>
      </c>
    </row>
    <row r="716" spans="2:29" ht="70" x14ac:dyDescent="0.35">
      <c r="B716" s="145">
        <v>20250799</v>
      </c>
      <c r="C716" s="148" t="s">
        <v>208</v>
      </c>
      <c r="D716" s="312" t="s">
        <v>164</v>
      </c>
      <c r="E716" s="313" t="s">
        <v>389</v>
      </c>
      <c r="F716" s="246" t="s">
        <v>463</v>
      </c>
      <c r="G716" s="308" t="s">
        <v>155</v>
      </c>
      <c r="H716" s="93">
        <v>80111600</v>
      </c>
      <c r="I716" s="247">
        <v>8</v>
      </c>
      <c r="J716" s="247">
        <v>5</v>
      </c>
      <c r="K716" s="52">
        <v>0</v>
      </c>
      <c r="L716" s="53">
        <v>30000000</v>
      </c>
      <c r="M716" s="146" t="s">
        <v>464</v>
      </c>
      <c r="N716" s="147" t="s">
        <v>113</v>
      </c>
      <c r="O716" s="313" t="s">
        <v>219</v>
      </c>
      <c r="P716" s="311" t="str">
        <f>IFERROR(VLOOKUP(C716,TD!$B$33:$F$37,2,0)," ")</f>
        <v>O230117</v>
      </c>
      <c r="Q716" s="311" t="str">
        <f>IFERROR(VLOOKUP(C716,TD!$B$33:$F$37,3,0)," ")</f>
        <v>4599</v>
      </c>
      <c r="R716" s="311">
        <f>IFERROR(VLOOKUP(C716,TD!$B$33:$F$37,4,0)," ")</f>
        <v>20240207</v>
      </c>
      <c r="S716" s="313" t="s">
        <v>185</v>
      </c>
      <c r="T716" s="254" t="str">
        <f>IFERROR(VLOOKUP(S716,TD!$J$34:$K$44,2,0)," ")</f>
        <v>Infraestructura física, mantenimiento y dotación (Sedes construidas, mantenidas reforzadas)</v>
      </c>
      <c r="U716" s="249" t="str">
        <f>CONCATENATE(S716,"-",T716)</f>
        <v>08-Infraestructura física, mantenimiento y dotación (Sedes construidas, mantenidas reforzadas)</v>
      </c>
      <c r="V716" s="51" t="s">
        <v>238</v>
      </c>
      <c r="W716" s="254" t="str">
        <f>IFERROR(VLOOKUP(V716,TD!$N$34:$O$46,2,0)," ")</f>
        <v>Sedes mantenidas</v>
      </c>
      <c r="X716" s="249" t="str">
        <f>CONCATENATE(V716,"_",W716)</f>
        <v>016_Sedes mantenidas</v>
      </c>
      <c r="Y716" s="249" t="str">
        <f>CONCATENATE(U716," ",X716)</f>
        <v>08-Infraestructura física, mantenimiento y dotación (Sedes construidas, mantenidas reforzadas) 016_Sedes mantenidas</v>
      </c>
      <c r="Z716" s="311" t="str">
        <f>CONCATENATE(P716,Q716,R716,S716,V716)</f>
        <v>O23011745992024020708016</v>
      </c>
      <c r="AA716" s="311" t="str">
        <f>IFERROR(VLOOKUP(Y716,TD!$K$47:$L$65,2,0)," ")</f>
        <v>PM/0131/0108/45990160207</v>
      </c>
      <c r="AB716" s="144" t="s">
        <v>120</v>
      </c>
      <c r="AC716" s="309" t="s">
        <v>204</v>
      </c>
    </row>
    <row r="717" spans="2:29" ht="196" x14ac:dyDescent="0.35">
      <c r="B717" s="145">
        <v>20250800</v>
      </c>
      <c r="C717" s="148" t="s">
        <v>208</v>
      </c>
      <c r="D717" s="312" t="s">
        <v>164</v>
      </c>
      <c r="E717" s="313" t="s">
        <v>389</v>
      </c>
      <c r="F717" s="246" t="s">
        <v>701</v>
      </c>
      <c r="G717" s="308" t="s">
        <v>155</v>
      </c>
      <c r="H717" s="93">
        <v>80111600</v>
      </c>
      <c r="I717" s="247">
        <v>8</v>
      </c>
      <c r="J717" s="247">
        <v>5</v>
      </c>
      <c r="K717" s="52">
        <v>0</v>
      </c>
      <c r="L717" s="53">
        <v>30600000</v>
      </c>
      <c r="M717" s="146" t="s">
        <v>464</v>
      </c>
      <c r="N717" s="147" t="s">
        <v>113</v>
      </c>
      <c r="O717" s="313" t="s">
        <v>219</v>
      </c>
      <c r="P717" s="311" t="str">
        <f>IFERROR(VLOOKUP(C717,TD!$B$33:$F$37,2,0)," ")</f>
        <v>O230117</v>
      </c>
      <c r="Q717" s="311" t="str">
        <f>IFERROR(VLOOKUP(C717,TD!$B$33:$F$37,3,0)," ")</f>
        <v>4599</v>
      </c>
      <c r="R717" s="311">
        <f>IFERROR(VLOOKUP(C717,TD!$B$33:$F$37,4,0)," ")</f>
        <v>20240207</v>
      </c>
      <c r="S717" s="313" t="s">
        <v>185</v>
      </c>
      <c r="T717" s="254" t="str">
        <f>IFERROR(VLOOKUP(S717,TD!$J$34:$K$44,2,0)," ")</f>
        <v>Infraestructura física, mantenimiento y dotación (Sedes construidas, mantenidas reforzadas)</v>
      </c>
      <c r="U717" s="249" t="str">
        <f>CONCATENATE(S717,"-",T717)</f>
        <v>08-Infraestructura física, mantenimiento y dotación (Sedes construidas, mantenidas reforzadas)</v>
      </c>
      <c r="V717" s="51" t="s">
        <v>238</v>
      </c>
      <c r="W717" s="254" t="str">
        <f>IFERROR(VLOOKUP(V717,TD!$N$34:$O$46,2,0)," ")</f>
        <v>Sedes mantenidas</v>
      </c>
      <c r="X717" s="249" t="str">
        <f>CONCATENATE(V717,"_",W717)</f>
        <v>016_Sedes mantenidas</v>
      </c>
      <c r="Y717" s="249" t="str">
        <f>CONCATENATE(U717," ",X717)</f>
        <v>08-Infraestructura física, mantenimiento y dotación (Sedes construidas, mantenidas reforzadas) 016_Sedes mantenidas</v>
      </c>
      <c r="Z717" s="311" t="str">
        <f>CONCATENATE(P717,Q717,R717,S717,V717)</f>
        <v>O23011745992024020708016</v>
      </c>
      <c r="AA717" s="311" t="str">
        <f>IFERROR(VLOOKUP(Y717,TD!$K$47:$L$65,2,0)," ")</f>
        <v>PM/0131/0108/45990160207</v>
      </c>
      <c r="AB717" s="144" t="s">
        <v>120</v>
      </c>
      <c r="AC717" s="309" t="s">
        <v>204</v>
      </c>
    </row>
    <row r="718" spans="2:29" ht="56" x14ac:dyDescent="0.35">
      <c r="B718" s="145">
        <v>20250801</v>
      </c>
      <c r="C718" s="148" t="s">
        <v>208</v>
      </c>
      <c r="D718" s="312" t="s">
        <v>164</v>
      </c>
      <c r="E718" s="313" t="s">
        <v>389</v>
      </c>
      <c r="F718" s="298" t="s">
        <v>713</v>
      </c>
      <c r="G718" s="308" t="s">
        <v>155</v>
      </c>
      <c r="H718" s="93">
        <v>80111600</v>
      </c>
      <c r="I718" s="247">
        <v>8</v>
      </c>
      <c r="J718" s="247">
        <v>5</v>
      </c>
      <c r="K718" s="52">
        <v>0</v>
      </c>
      <c r="L718" s="53">
        <f>64500000-57000000+40000000</f>
        <v>47500000</v>
      </c>
      <c r="M718" s="146" t="s">
        <v>464</v>
      </c>
      <c r="N718" s="147" t="s">
        <v>113</v>
      </c>
      <c r="O718" s="313" t="s">
        <v>219</v>
      </c>
      <c r="P718" s="311" t="str">
        <f>IFERROR(VLOOKUP(C718,TD!$B$33:$F$37,2,0)," ")</f>
        <v>O230117</v>
      </c>
      <c r="Q718" s="311" t="str">
        <f>IFERROR(VLOOKUP(C718,TD!$B$33:$F$37,3,0)," ")</f>
        <v>4599</v>
      </c>
      <c r="R718" s="311">
        <f>IFERROR(VLOOKUP(C718,TD!$B$33:$F$37,4,0)," ")</f>
        <v>20240207</v>
      </c>
      <c r="S718" s="313" t="s">
        <v>185</v>
      </c>
      <c r="T718" s="254" t="str">
        <f>IFERROR(VLOOKUP(S718,TD!$J$34:$K$44,2,0)," ")</f>
        <v>Infraestructura física, mantenimiento y dotación (Sedes construidas, mantenidas reforzadas)</v>
      </c>
      <c r="U718" s="249" t="str">
        <f>CONCATENATE(S718,"-",T718)</f>
        <v>08-Infraestructura física, mantenimiento y dotación (Sedes construidas, mantenidas reforzadas)</v>
      </c>
      <c r="V718" s="51" t="s">
        <v>238</v>
      </c>
      <c r="W718" s="254" t="str">
        <f>IFERROR(VLOOKUP(V718,TD!$N$34:$O$46,2,0)," ")</f>
        <v>Sedes mantenidas</v>
      </c>
      <c r="X718" s="249" t="str">
        <f>CONCATENATE(V718,"_",W718)</f>
        <v>016_Sedes mantenidas</v>
      </c>
      <c r="Y718" s="249" t="str">
        <f>CONCATENATE(U718," ",X718)</f>
        <v>08-Infraestructura física, mantenimiento y dotación (Sedes construidas, mantenidas reforzadas) 016_Sedes mantenidas</v>
      </c>
      <c r="Z718" s="311" t="str">
        <f>CONCATENATE(P718,Q718,R718,S718,V718)</f>
        <v>O23011745992024020708016</v>
      </c>
      <c r="AA718" s="311" t="str">
        <f>IFERROR(VLOOKUP(Y718,TD!$K$47:$L$65,2,0)," ")</f>
        <v>PM/0131/0108/45990160207</v>
      </c>
      <c r="AB718" s="144" t="s">
        <v>120</v>
      </c>
      <c r="AC718" s="309" t="s">
        <v>204</v>
      </c>
    </row>
    <row r="719" spans="2:29" ht="56" x14ac:dyDescent="0.35">
      <c r="B719" s="143">
        <v>20250802</v>
      </c>
      <c r="C719" s="423" t="s">
        <v>208</v>
      </c>
      <c r="D719" s="312" t="s">
        <v>164</v>
      </c>
      <c r="E719" s="313" t="s">
        <v>389</v>
      </c>
      <c r="F719" s="298" t="s">
        <v>702</v>
      </c>
      <c r="G719" s="315" t="s">
        <v>155</v>
      </c>
      <c r="H719" s="134">
        <v>80111600</v>
      </c>
      <c r="I719" s="299">
        <v>8</v>
      </c>
      <c r="J719" s="299">
        <v>5</v>
      </c>
      <c r="K719" s="135">
        <v>0</v>
      </c>
      <c r="L719" s="131">
        <v>42000000</v>
      </c>
      <c r="M719" s="451" t="s">
        <v>464</v>
      </c>
      <c r="N719" s="454" t="s">
        <v>113</v>
      </c>
      <c r="O719" s="456" t="s">
        <v>219</v>
      </c>
      <c r="P719" s="316" t="str">
        <f>IFERROR(VLOOKUP(C719,TD!$B$33:$F$37,2,0)," ")</f>
        <v>O230117</v>
      </c>
      <c r="Q719" s="316" t="str">
        <f>IFERROR(VLOOKUP(C719,TD!$B$33:$F$37,3,0)," ")</f>
        <v>4599</v>
      </c>
      <c r="R719" s="316">
        <f>IFERROR(VLOOKUP(C719,TD!$B$33:$F$37,4,0)," ")</f>
        <v>20240207</v>
      </c>
      <c r="S719" s="456" t="s">
        <v>185</v>
      </c>
      <c r="T719" s="294" t="str">
        <f>IFERROR(VLOOKUP(S719,TD!$J$34:$K$44,2,0)," ")</f>
        <v>Infraestructura física, mantenimiento y dotación (Sedes construidas, mantenidas reforzadas)</v>
      </c>
      <c r="U719" s="296" t="str">
        <f>CONCATENATE(S719,"-",T719)</f>
        <v>08-Infraestructura física, mantenimiento y dotación (Sedes construidas, mantenidas reforzadas)</v>
      </c>
      <c r="V719" s="302" t="s">
        <v>238</v>
      </c>
      <c r="W719" s="294" t="str">
        <f>IFERROR(VLOOKUP(V719,TD!$N$34:$O$46,2,0)," ")</f>
        <v>Sedes mantenidas</v>
      </c>
      <c r="X719" s="296" t="str">
        <f>CONCATENATE(V719,"_",W719)</f>
        <v>016_Sedes mantenidas</v>
      </c>
      <c r="Y719" s="296" t="str">
        <f>CONCATENATE(U719," ",X719)</f>
        <v>08-Infraestructura física, mantenimiento y dotación (Sedes construidas, mantenidas reforzadas) 016_Sedes mantenidas</v>
      </c>
      <c r="Z719" s="316" t="str">
        <f>CONCATENATE(P719,Q719,R719,S719,V719)</f>
        <v>O23011745992024020708016</v>
      </c>
      <c r="AA719" s="316" t="str">
        <f>IFERROR(VLOOKUP(Y719,TD!$K$47:$L$65,2,0)," ")</f>
        <v>PM/0131/0108/45990160207</v>
      </c>
      <c r="AB719" s="176" t="s">
        <v>120</v>
      </c>
      <c r="AC719" s="317" t="s">
        <v>204</v>
      </c>
    </row>
    <row r="720" spans="2:29" ht="56" x14ac:dyDescent="0.35">
      <c r="B720" s="143">
        <v>20250803</v>
      </c>
      <c r="C720" s="220" t="s">
        <v>209</v>
      </c>
      <c r="D720" s="298" t="s">
        <v>168</v>
      </c>
      <c r="E720" s="302" t="s">
        <v>600</v>
      </c>
      <c r="F720" s="315" t="s">
        <v>968</v>
      </c>
      <c r="G720" s="315" t="s">
        <v>119</v>
      </c>
      <c r="H720" s="169">
        <v>15101500</v>
      </c>
      <c r="I720" s="318">
        <v>7</v>
      </c>
      <c r="J720" s="318">
        <v>0</v>
      </c>
      <c r="K720" s="172">
        <v>20</v>
      </c>
      <c r="L720" s="176">
        <v>64000000</v>
      </c>
      <c r="M720" s="174" t="s">
        <v>464</v>
      </c>
      <c r="N720" s="176" t="s">
        <v>123</v>
      </c>
      <c r="O720" s="319" t="s">
        <v>224</v>
      </c>
      <c r="P720" s="316" t="str">
        <f>IFERROR(VLOOKUP(C720,TD!$B$33:$F$37,2,0)," ")</f>
        <v>O230117</v>
      </c>
      <c r="Q720" s="316" t="str">
        <f>IFERROR(VLOOKUP(C720,TD!$B$33:$F$37,3,0)," ")</f>
        <v>4503</v>
      </c>
      <c r="R720" s="316">
        <f>IFERROR(VLOOKUP(C720,TD!$B$33:$F$37,4,0)," ")</f>
        <v>20240255</v>
      </c>
      <c r="S720" s="319" t="s">
        <v>191</v>
      </c>
      <c r="T720" s="294" t="str">
        <f>IFERROR(VLOOKUP(S720,TD!$J$34:$K$44,2,0)," ")</f>
        <v>Servicio de apoyo   logístico  en eventos operativos y/o emergencias.</v>
      </c>
      <c r="U720" s="296" t="str">
        <f>CONCATENATE(S720,"-",T720)</f>
        <v>12-Servicio de apoyo   logístico  en eventos operativos y/o emergencias.</v>
      </c>
      <c r="V720" s="302" t="s">
        <v>232</v>
      </c>
      <c r="W720" s="294" t="str">
        <f>IFERROR(VLOOKUP(V720,TD!$N$34:$O$46,2,0)," ")</f>
        <v>Servicio de atención a emergencias y desastres</v>
      </c>
      <c r="X720" s="296" t="str">
        <f>CONCATENATE(V720,"_",W720)</f>
        <v>004_Servicio de atención a emergencias y desastres</v>
      </c>
      <c r="Y720" s="296" t="str">
        <f>CONCATENATE(U720," ",X720)</f>
        <v>12-Servicio de apoyo   logístico  en eventos operativos y/o emergencias. 004_Servicio de atención a emergencias y desastres</v>
      </c>
      <c r="Z720" s="316" t="str">
        <f>CONCATENATE(P720,Q720,R720,S720,V720)</f>
        <v>O23011745032024025512004</v>
      </c>
      <c r="AA720" s="316" t="str">
        <f>IFERROR(VLOOKUP(Y720,TD!$K$47:$L$65,2,0)," ")</f>
        <v>PM/0131/0112/45030040255</v>
      </c>
      <c r="AB720" s="176" t="s">
        <v>92</v>
      </c>
      <c r="AC720" s="317" t="s">
        <v>204</v>
      </c>
    </row>
    <row r="721" spans="2:29" ht="56" x14ac:dyDescent="0.35">
      <c r="B721" s="127">
        <v>20250804</v>
      </c>
      <c r="C721" s="138" t="s">
        <v>209</v>
      </c>
      <c r="D721" s="251" t="s">
        <v>168</v>
      </c>
      <c r="E721" s="252" t="s">
        <v>600</v>
      </c>
      <c r="F721" s="251" t="s">
        <v>969</v>
      </c>
      <c r="G721" s="251" t="s">
        <v>119</v>
      </c>
      <c r="H721" s="130" t="s">
        <v>386</v>
      </c>
      <c r="I721" s="253">
        <v>7</v>
      </c>
      <c r="J721" s="253">
        <v>1</v>
      </c>
      <c r="K721" s="126">
        <v>0</v>
      </c>
      <c r="L721" s="125">
        <v>1904020</v>
      </c>
      <c r="M721" s="158" t="s">
        <v>464</v>
      </c>
      <c r="N721" s="141" t="s">
        <v>100</v>
      </c>
      <c r="O721" s="295" t="s">
        <v>224</v>
      </c>
      <c r="P721" s="294" t="str">
        <f>IFERROR(VLOOKUP(C721,TD!$B$33:$F$37,2,0)," ")</f>
        <v>O230117</v>
      </c>
      <c r="Q721" s="294" t="str">
        <f>IFERROR(VLOOKUP(C721,TD!$B$33:$F$37,3,0)," ")</f>
        <v>4503</v>
      </c>
      <c r="R721" s="294">
        <f>IFERROR(VLOOKUP(C721,TD!$B$33:$F$37,4,0)," ")</f>
        <v>20240255</v>
      </c>
      <c r="S721" s="295" t="s">
        <v>191</v>
      </c>
      <c r="T721" s="294" t="str">
        <f>IFERROR(VLOOKUP(S721,TD!$J$34:$K$44,2,0)," ")</f>
        <v>Servicio de apoyo   logístico  en eventos operativos y/o emergencias.</v>
      </c>
      <c r="U721" s="296" t="str">
        <f>CONCATENATE(S721,"-",T721)</f>
        <v>12-Servicio de apoyo   logístico  en eventos operativos y/o emergencias.</v>
      </c>
      <c r="V721" s="295" t="s">
        <v>232</v>
      </c>
      <c r="W721" s="294" t="str">
        <f>IFERROR(VLOOKUP(V721,TD!$N$34:$O$46,2,0)," ")</f>
        <v>Servicio de atención a emergencias y desastres</v>
      </c>
      <c r="X721" s="296" t="str">
        <f>CONCATENATE(V721,"_",W721)</f>
        <v>004_Servicio de atención a emergencias y desastres</v>
      </c>
      <c r="Y721" s="296" t="str">
        <f>CONCATENATE(U721," ",X721)</f>
        <v>12-Servicio de apoyo   logístico  en eventos operativos y/o emergencias. 004_Servicio de atención a emergencias y desastres</v>
      </c>
      <c r="Z721" s="294" t="str">
        <f>CONCATENATE(P721,Q721,R721,S721,V721)</f>
        <v>O23011745032024025512004</v>
      </c>
      <c r="AA721" s="294" t="str">
        <f>IFERROR(VLOOKUP(Y721,TD!$K$47:$L$65,2,0)," ")</f>
        <v>PM/0131/0112/45030040255</v>
      </c>
      <c r="AB721" s="141" t="s">
        <v>97</v>
      </c>
      <c r="AC721" s="297" t="s">
        <v>204</v>
      </c>
    </row>
    <row r="722" spans="2:29" ht="70" x14ac:dyDescent="0.35">
      <c r="B722" s="143">
        <v>20250805</v>
      </c>
      <c r="C722" s="133" t="s">
        <v>346</v>
      </c>
      <c r="D722" s="246" t="s">
        <v>166</v>
      </c>
      <c r="E722" s="51" t="s">
        <v>558</v>
      </c>
      <c r="F722" s="315" t="s">
        <v>971</v>
      </c>
      <c r="G722" s="308" t="s">
        <v>101</v>
      </c>
      <c r="H722" s="169" t="s">
        <v>629</v>
      </c>
      <c r="I722" s="318">
        <v>8</v>
      </c>
      <c r="J722" s="318">
        <v>12</v>
      </c>
      <c r="K722" s="172">
        <v>0</v>
      </c>
      <c r="L722" s="176">
        <v>133704463</v>
      </c>
      <c r="M722" s="174" t="s">
        <v>172</v>
      </c>
      <c r="N722" s="176" t="s">
        <v>90</v>
      </c>
      <c r="O722" s="319" t="s">
        <v>347</v>
      </c>
      <c r="P722" s="316" t="str">
        <f>IFERROR(VLOOKUP(C722,TD!$B$33:$F$37,2,0)," ")</f>
        <v>NA</v>
      </c>
      <c r="Q722" s="316" t="str">
        <f>IFERROR(VLOOKUP(C722,TD!$B$33:$F$37,3,0)," ")</f>
        <v>NA</v>
      </c>
      <c r="R722" s="316" t="str">
        <f>IFERROR(VLOOKUP(C722,TD!$B$33:$F$37,4,0)," ")</f>
        <v>NA</v>
      </c>
      <c r="S722" s="319" t="s">
        <v>406</v>
      </c>
      <c r="T722" s="294" t="str">
        <f>IFERROR(VLOOKUP(S722,TD!$J$34:$K$44,2,0)," ")</f>
        <v>N/A</v>
      </c>
      <c r="U722" s="296" t="str">
        <f>CONCATENATE(S722,"-",T722)</f>
        <v>N/A-N/A</v>
      </c>
      <c r="V722" s="302" t="s">
        <v>406</v>
      </c>
      <c r="W722" s="294" t="str">
        <f>IFERROR(VLOOKUP(V722,TD!$N$34:$O$46,2,0)," ")</f>
        <v>N/A</v>
      </c>
      <c r="X722" s="296" t="str">
        <f>CONCATENATE(V722,"_",W722)</f>
        <v>N/A_N/A</v>
      </c>
      <c r="Y722" s="296" t="str">
        <f>CONCATENATE(U722," ",X722)</f>
        <v>N/A-N/A N/A_N/A</v>
      </c>
      <c r="Z722" s="316" t="str">
        <f>CONCATENATE(P722,Q722,R722,S722,V722)</f>
        <v>NANANAN/AN/A</v>
      </c>
      <c r="AA722" s="316" t="str">
        <f>IFERROR(VLOOKUP(Y722,TD!$K$47:$L$65,2,0)," ")</f>
        <v>N/A</v>
      </c>
      <c r="AB722" s="176" t="s">
        <v>348</v>
      </c>
      <c r="AC722" s="317" t="s">
        <v>204</v>
      </c>
    </row>
    <row r="723" spans="2:29" ht="70" x14ac:dyDescent="0.35">
      <c r="B723" s="137">
        <v>20250806</v>
      </c>
      <c r="C723" s="138" t="s">
        <v>208</v>
      </c>
      <c r="D723" s="251" t="s">
        <v>162</v>
      </c>
      <c r="E723" s="252" t="s">
        <v>355</v>
      </c>
      <c r="F723" s="292" t="s">
        <v>974</v>
      </c>
      <c r="G723" s="251" t="s">
        <v>109</v>
      </c>
      <c r="H723" s="139" t="s">
        <v>975</v>
      </c>
      <c r="I723" s="293">
        <v>9</v>
      </c>
      <c r="J723" s="293">
        <v>12</v>
      </c>
      <c r="K723" s="140">
        <v>0</v>
      </c>
      <c r="L723" s="141">
        <v>418069039</v>
      </c>
      <c r="M723" s="158" t="s">
        <v>464</v>
      </c>
      <c r="N723" s="141" t="s">
        <v>90</v>
      </c>
      <c r="O723" s="295" t="s">
        <v>215</v>
      </c>
      <c r="P723" s="294" t="str">
        <f>IFERROR(VLOOKUP(C723,TD!$B$33:$F$37,2,0)," ")</f>
        <v>O230117</v>
      </c>
      <c r="Q723" s="294" t="str">
        <f>IFERROR(VLOOKUP(C723,TD!$B$33:$F$37,3,0)," ")</f>
        <v>4599</v>
      </c>
      <c r="R723" s="294">
        <f>IFERROR(VLOOKUP(C723,TD!$B$33:$F$37,4,0)," ")</f>
        <v>20240207</v>
      </c>
      <c r="S723" s="295" t="s">
        <v>179</v>
      </c>
      <c r="T723" s="294" t="str">
        <f>IFERROR(VLOOKUP(S723,TD!$J$34:$K$44,2,0)," ")</f>
        <v>Infraestructura Tecnológica   (Sistemas de Información y Tecnologia)</v>
      </c>
      <c r="U723" s="296" t="str">
        <f>CONCATENATE(S723,"-",T723)</f>
        <v>11-Infraestructura Tecnológica   (Sistemas de Información y Tecnologia)</v>
      </c>
      <c r="V723" s="295" t="s">
        <v>239</v>
      </c>
      <c r="W723" s="294" t="str">
        <f>IFERROR(VLOOKUP(V723,TD!$N$34:$O$46,2,0)," ")</f>
        <v>Servicios tecnológicos</v>
      </c>
      <c r="X723" s="296" t="str">
        <f>CONCATENATE(V723,"_",W723)</f>
        <v>007_Servicios tecnológicos</v>
      </c>
      <c r="Y723" s="296" t="str">
        <f>CONCATENATE(U723," ",X723)</f>
        <v>11-Infraestructura Tecnológica   (Sistemas de Información y Tecnologia) 007_Servicios tecnológicos</v>
      </c>
      <c r="Z723" s="294" t="str">
        <f>CONCATENATE(P723,Q723,R723,S723,V723)</f>
        <v>O23011745992024020711007</v>
      </c>
      <c r="AA723" s="294" t="str">
        <f>IFERROR(VLOOKUP(Y723,TD!$K$47:$L$65,2,0)," ")</f>
        <v>PM/0131/0111/45990070207</v>
      </c>
      <c r="AB723" s="141" t="s">
        <v>130</v>
      </c>
      <c r="AC723" s="297" t="s">
        <v>204</v>
      </c>
    </row>
    <row r="724" spans="2:29" ht="84" x14ac:dyDescent="0.35">
      <c r="B724" s="143">
        <v>20250807</v>
      </c>
      <c r="C724" s="133" t="s">
        <v>208</v>
      </c>
      <c r="D724" s="246" t="s">
        <v>164</v>
      </c>
      <c r="E724" s="51" t="s">
        <v>389</v>
      </c>
      <c r="F724" s="298" t="s">
        <v>1366</v>
      </c>
      <c r="G724" s="315" t="s">
        <v>156</v>
      </c>
      <c r="H724" s="134">
        <v>80111600</v>
      </c>
      <c r="I724" s="318">
        <v>11</v>
      </c>
      <c r="J724" s="318">
        <v>3</v>
      </c>
      <c r="K724" s="172">
        <v>0</v>
      </c>
      <c r="L724" s="176">
        <f>10199444+999</f>
        <v>10200443</v>
      </c>
      <c r="M724" s="174" t="s">
        <v>464</v>
      </c>
      <c r="N724" s="176" t="s">
        <v>113</v>
      </c>
      <c r="O724" s="319" t="s">
        <v>219</v>
      </c>
      <c r="P724" s="316" t="str">
        <f>IFERROR(VLOOKUP(C724,TD!$B$33:$F$37,2,0)," ")</f>
        <v>O230117</v>
      </c>
      <c r="Q724" s="316" t="str">
        <f>IFERROR(VLOOKUP(C724,TD!$B$33:$F$37,3,0)," ")</f>
        <v>4599</v>
      </c>
      <c r="R724" s="316">
        <f>IFERROR(VLOOKUP(C724,TD!$B$33:$F$37,4,0)," ")</f>
        <v>20240207</v>
      </c>
      <c r="S724" s="319" t="s">
        <v>185</v>
      </c>
      <c r="T724" s="294" t="str">
        <f>IFERROR(VLOOKUP(S724,TD!$J$34:$K$44,2,0)," ")</f>
        <v>Infraestructura física, mantenimiento y dotación (Sedes construidas, mantenidas reforzadas)</v>
      </c>
      <c r="U724" s="296" t="str">
        <f>CONCATENATE(S724,"-",T724)</f>
        <v>08-Infraestructura física, mantenimiento y dotación (Sedes construidas, mantenidas reforzadas)</v>
      </c>
      <c r="V724" s="302" t="s">
        <v>238</v>
      </c>
      <c r="W724" s="294" t="str">
        <f>IFERROR(VLOOKUP(V724,TD!$N$34:$O$46,2,0)," ")</f>
        <v>Sedes mantenidas</v>
      </c>
      <c r="X724" s="296" t="str">
        <f>CONCATENATE(V724,"_",W724)</f>
        <v>016_Sedes mantenidas</v>
      </c>
      <c r="Y724" s="296" t="str">
        <f>CONCATENATE(U724," ",X724)</f>
        <v>08-Infraestructura física, mantenimiento y dotación (Sedes construidas, mantenidas reforzadas) 016_Sedes mantenidas</v>
      </c>
      <c r="Z724" s="316" t="str">
        <f>CONCATENATE(P724,Q724,R724,S724,V724)</f>
        <v>O23011745992024020708016</v>
      </c>
      <c r="AA724" s="316" t="str">
        <f>IFERROR(VLOOKUP(Y724,TD!$K$47:$L$65,2,0)," ")</f>
        <v>PM/0131/0108/45990160207</v>
      </c>
      <c r="AB724" s="176" t="s">
        <v>138</v>
      </c>
      <c r="AC724" s="317" t="s">
        <v>204</v>
      </c>
    </row>
    <row r="725" spans="2:29" ht="56" x14ac:dyDescent="0.35">
      <c r="B725" s="132">
        <v>20250808</v>
      </c>
      <c r="C725" s="133" t="s">
        <v>208</v>
      </c>
      <c r="D725" s="246" t="s">
        <v>164</v>
      </c>
      <c r="E725" s="51" t="s">
        <v>389</v>
      </c>
      <c r="F725" s="298" t="s">
        <v>976</v>
      </c>
      <c r="G725" s="246" t="s">
        <v>155</v>
      </c>
      <c r="H725" s="134">
        <v>80111600</v>
      </c>
      <c r="I725" s="299">
        <v>5</v>
      </c>
      <c r="J725" s="299">
        <v>5</v>
      </c>
      <c r="K725" s="135">
        <v>0</v>
      </c>
      <c r="L725" s="131">
        <v>30000000</v>
      </c>
      <c r="M725" s="142" t="s">
        <v>464</v>
      </c>
      <c r="N725" s="131" t="s">
        <v>113</v>
      </c>
      <c r="O725" s="302" t="s">
        <v>219</v>
      </c>
      <c r="P725" s="300" t="str">
        <f>IFERROR(VLOOKUP(C725,TD!$B$33:$F$37,2,0)," ")</f>
        <v>O230117</v>
      </c>
      <c r="Q725" s="300" t="str">
        <f>IFERROR(VLOOKUP(C725,TD!$B$33:$F$37,3,0)," ")</f>
        <v>4599</v>
      </c>
      <c r="R725" s="300">
        <f>IFERROR(VLOOKUP(C725,TD!$B$33:$F$37,4,0)," ")</f>
        <v>20240207</v>
      </c>
      <c r="S725" s="302" t="s">
        <v>185</v>
      </c>
      <c r="T725" s="300" t="str">
        <f>IFERROR(VLOOKUP(S725,TD!$J$34:$K$44,2,0)," ")</f>
        <v>Infraestructura física, mantenimiento y dotación (Sedes construidas, mantenidas reforzadas)</v>
      </c>
      <c r="U725" s="296" t="str">
        <f>CONCATENATE(S725,"-",T725)</f>
        <v>08-Infraestructura física, mantenimiento y dotación (Sedes construidas, mantenidas reforzadas)</v>
      </c>
      <c r="V725" s="302" t="s">
        <v>238</v>
      </c>
      <c r="W725" s="300" t="str">
        <f>IFERROR(VLOOKUP(V725,TD!$N$34:$O$46,2,0)," ")</f>
        <v>Sedes mantenidas</v>
      </c>
      <c r="X725" s="296" t="str">
        <f>CONCATENATE(V725,"_",W725)</f>
        <v>016_Sedes mantenidas</v>
      </c>
      <c r="Y725" s="296" t="str">
        <f>CONCATENATE(U725," ",X725)</f>
        <v>08-Infraestructura física, mantenimiento y dotación (Sedes construidas, mantenidas reforzadas) 016_Sedes mantenidas</v>
      </c>
      <c r="Z725" s="300" t="str">
        <f>CONCATENATE(P725,Q725,R725,S725,V725)</f>
        <v>O23011745992024020708016</v>
      </c>
      <c r="AA725" s="300" t="str">
        <f>IFERROR(VLOOKUP(Y725,TD!$K$47:$L$65,2,0)," ")</f>
        <v>PM/0131/0108/45990160207</v>
      </c>
      <c r="AB725" s="131" t="s">
        <v>120</v>
      </c>
      <c r="AC725" s="301" t="s">
        <v>204</v>
      </c>
    </row>
    <row r="726" spans="2:29" ht="56" x14ac:dyDescent="0.35">
      <c r="B726" s="132">
        <v>20250809</v>
      </c>
      <c r="C726" s="133" t="s">
        <v>209</v>
      </c>
      <c r="D726" s="246" t="s">
        <v>167</v>
      </c>
      <c r="E726" s="51" t="s">
        <v>505</v>
      </c>
      <c r="F726" s="298" t="s">
        <v>982</v>
      </c>
      <c r="G726" s="246" t="s">
        <v>155</v>
      </c>
      <c r="H726" s="134">
        <v>80111600</v>
      </c>
      <c r="I726" s="299">
        <v>8</v>
      </c>
      <c r="J726" s="299">
        <v>5</v>
      </c>
      <c r="K726" s="135">
        <v>0</v>
      </c>
      <c r="L726" s="131">
        <v>20000000</v>
      </c>
      <c r="M726" s="142" t="s">
        <v>464</v>
      </c>
      <c r="N726" s="131" t="s">
        <v>113</v>
      </c>
      <c r="O726" s="302" t="s">
        <v>221</v>
      </c>
      <c r="P726" s="300" t="str">
        <f>IFERROR(VLOOKUP(C726,TD!$B$33:$F$37,2,0)," ")</f>
        <v>O230117</v>
      </c>
      <c r="Q726" s="300" t="str">
        <f>IFERROR(VLOOKUP(C726,TD!$B$33:$F$37,3,0)," ")</f>
        <v>4503</v>
      </c>
      <c r="R726" s="300">
        <f>IFERROR(VLOOKUP(C726,TD!$B$33:$F$37,4,0)," ")</f>
        <v>20240255</v>
      </c>
      <c r="S726" s="302" t="s">
        <v>177</v>
      </c>
      <c r="T726" s="300" t="str">
        <f>IFERROR(VLOOKUP(S726,TD!$J$34:$K$44,2,0)," ")</f>
        <v>Servicio de capacitaciones en gestión del riesgo de incendios  a la ciudadania.</v>
      </c>
      <c r="U726" s="296" t="str">
        <f>CONCATENATE(S726,"-",T726)</f>
        <v>05-Servicio de capacitaciones en gestión del riesgo de incendios  a la ciudadania.</v>
      </c>
      <c r="V726" s="302" t="s">
        <v>234</v>
      </c>
      <c r="W726" s="300" t="str">
        <f>IFERROR(VLOOKUP(V726,TD!$N$34:$O$46,2,0)," ")</f>
        <v>Servicio prevención y control de incendios</v>
      </c>
      <c r="X726" s="296" t="str">
        <f>CONCATENATE(V726,"_",W726)</f>
        <v>035_Servicio prevención y control de incendios</v>
      </c>
      <c r="Y726" s="296" t="str">
        <f>CONCATENATE(U726," ",X726)</f>
        <v>05-Servicio de capacitaciones en gestión del riesgo de incendios  a la ciudadania. 035_Servicio prevención y control de incendios</v>
      </c>
      <c r="Z726" s="300" t="str">
        <f>CONCATENATE(P726,Q726,R726,S726,V726)</f>
        <v>O23011745032024025505035</v>
      </c>
      <c r="AA726" s="300" t="str">
        <f>IFERROR(VLOOKUP(Y726,TD!$K$47:$L$65,2,0)," ")</f>
        <v>PM/0131/0105/45030350255</v>
      </c>
      <c r="AB726" s="131" t="s">
        <v>120</v>
      </c>
      <c r="AC726" s="301" t="s">
        <v>204</v>
      </c>
    </row>
    <row r="727" spans="2:29" ht="56" x14ac:dyDescent="0.35">
      <c r="B727" s="132">
        <v>20250810</v>
      </c>
      <c r="C727" s="133" t="s">
        <v>208</v>
      </c>
      <c r="D727" s="246" t="s">
        <v>46</v>
      </c>
      <c r="E727" s="51" t="s">
        <v>465</v>
      </c>
      <c r="F727" s="298" t="s">
        <v>978</v>
      </c>
      <c r="G727" s="246" t="s">
        <v>155</v>
      </c>
      <c r="H727" s="134">
        <v>80111600</v>
      </c>
      <c r="I727" s="299">
        <v>9</v>
      </c>
      <c r="J727" s="299">
        <v>3</v>
      </c>
      <c r="K727" s="135">
        <v>15</v>
      </c>
      <c r="L727" s="131">
        <v>27300000</v>
      </c>
      <c r="M727" s="142" t="s">
        <v>464</v>
      </c>
      <c r="N727" s="131" t="s">
        <v>113</v>
      </c>
      <c r="O727" s="302" t="s">
        <v>219</v>
      </c>
      <c r="P727" s="300" t="str">
        <f>IFERROR(VLOOKUP(C727,TD!$B$33:$F$37,2,0)," ")</f>
        <v>O230117</v>
      </c>
      <c r="Q727" s="300" t="str">
        <f>IFERROR(VLOOKUP(C727,TD!$B$33:$F$37,3,0)," ")</f>
        <v>4599</v>
      </c>
      <c r="R727" s="300">
        <f>IFERROR(VLOOKUP(C727,TD!$B$33:$F$37,4,0)," ")</f>
        <v>20240207</v>
      </c>
      <c r="S727" s="302" t="s">
        <v>185</v>
      </c>
      <c r="T727" s="300" t="str">
        <f>IFERROR(VLOOKUP(S727,TD!$J$34:$K$44,2,0)," ")</f>
        <v>Infraestructura física, mantenimiento y dotación (Sedes construidas, mantenidas reforzadas)</v>
      </c>
      <c r="U727" s="296" t="str">
        <f>CONCATENATE(S727,"-",T727)</f>
        <v>08-Infraestructura física, mantenimiento y dotación (Sedes construidas, mantenidas reforzadas)</v>
      </c>
      <c r="V727" s="302" t="s">
        <v>238</v>
      </c>
      <c r="W727" s="300" t="str">
        <f>IFERROR(VLOOKUP(V727,TD!$N$34:$O$46,2,0)," ")</f>
        <v>Sedes mantenidas</v>
      </c>
      <c r="X727" s="296" t="str">
        <f>CONCATENATE(V727,"_",W727)</f>
        <v>016_Sedes mantenidas</v>
      </c>
      <c r="Y727" s="296" t="str">
        <f>CONCATENATE(U727," ",X727)</f>
        <v>08-Infraestructura física, mantenimiento y dotación (Sedes construidas, mantenidas reforzadas) 016_Sedes mantenidas</v>
      </c>
      <c r="Z727" s="300" t="str">
        <f>CONCATENATE(P727,Q727,R727,S727,V727)</f>
        <v>O23011745992024020708016</v>
      </c>
      <c r="AA727" s="300" t="str">
        <f>IFERROR(VLOOKUP(Y727,TD!$K$47:$L$65,2,0)," ")</f>
        <v>PM/0131/0108/45990160207</v>
      </c>
      <c r="AB727" s="131" t="s">
        <v>120</v>
      </c>
      <c r="AC727" s="301" t="s">
        <v>205</v>
      </c>
    </row>
    <row r="728" spans="2:29" ht="56" x14ac:dyDescent="0.35">
      <c r="B728" s="132">
        <v>20250811</v>
      </c>
      <c r="C728" s="133" t="s">
        <v>208</v>
      </c>
      <c r="D728" s="246" t="s">
        <v>46</v>
      </c>
      <c r="E728" s="51" t="s">
        <v>465</v>
      </c>
      <c r="F728" s="298" t="s">
        <v>979</v>
      </c>
      <c r="G728" s="246" t="s">
        <v>155</v>
      </c>
      <c r="H728" s="134">
        <v>80111600</v>
      </c>
      <c r="I728" s="299">
        <v>12</v>
      </c>
      <c r="J728" s="299">
        <v>1</v>
      </c>
      <c r="K728" s="135">
        <v>0</v>
      </c>
      <c r="L728" s="131">
        <v>8500000</v>
      </c>
      <c r="M728" s="142" t="s">
        <v>464</v>
      </c>
      <c r="N728" s="131" t="s">
        <v>113</v>
      </c>
      <c r="O728" s="302" t="s">
        <v>219</v>
      </c>
      <c r="P728" s="300" t="str">
        <f>IFERROR(VLOOKUP(C728,TD!$B$33:$F$37,2,0)," ")</f>
        <v>O230117</v>
      </c>
      <c r="Q728" s="300" t="str">
        <f>IFERROR(VLOOKUP(C728,TD!$B$33:$F$37,3,0)," ")</f>
        <v>4599</v>
      </c>
      <c r="R728" s="300">
        <f>IFERROR(VLOOKUP(C728,TD!$B$33:$F$37,4,0)," ")</f>
        <v>20240207</v>
      </c>
      <c r="S728" s="302" t="s">
        <v>185</v>
      </c>
      <c r="T728" s="300" t="str">
        <f>IFERROR(VLOOKUP(S728,TD!$J$34:$K$44,2,0)," ")</f>
        <v>Infraestructura física, mantenimiento y dotación (Sedes construidas, mantenidas reforzadas)</v>
      </c>
      <c r="U728" s="296" t="str">
        <f>CONCATENATE(S728,"-",T728)</f>
        <v>08-Infraestructura física, mantenimiento y dotación (Sedes construidas, mantenidas reforzadas)</v>
      </c>
      <c r="V728" s="302" t="s">
        <v>238</v>
      </c>
      <c r="W728" s="300" t="str">
        <f>IFERROR(VLOOKUP(V728,TD!$N$34:$O$46,2,0)," ")</f>
        <v>Sedes mantenidas</v>
      </c>
      <c r="X728" s="296" t="str">
        <f>CONCATENATE(V728,"_",W728)</f>
        <v>016_Sedes mantenidas</v>
      </c>
      <c r="Y728" s="296" t="str">
        <f>CONCATENATE(U728," ",X728)</f>
        <v>08-Infraestructura física, mantenimiento y dotación (Sedes construidas, mantenidas reforzadas) 016_Sedes mantenidas</v>
      </c>
      <c r="Z728" s="300" t="str">
        <f>CONCATENATE(P728,Q728,R728,S728,V728)</f>
        <v>O23011745992024020708016</v>
      </c>
      <c r="AA728" s="300" t="str">
        <f>IFERROR(VLOOKUP(Y728,TD!$K$47:$L$65,2,0)," ")</f>
        <v>PM/0131/0108/45990160207</v>
      </c>
      <c r="AB728" s="131" t="s">
        <v>120</v>
      </c>
      <c r="AC728" s="301" t="s">
        <v>205</v>
      </c>
    </row>
    <row r="729" spans="2:29" ht="56" x14ac:dyDescent="0.35">
      <c r="B729" s="132">
        <v>20250812</v>
      </c>
      <c r="C729" s="133" t="s">
        <v>208</v>
      </c>
      <c r="D729" s="246" t="s">
        <v>46</v>
      </c>
      <c r="E729" s="51" t="s">
        <v>465</v>
      </c>
      <c r="F729" s="298" t="s">
        <v>980</v>
      </c>
      <c r="G729" s="246" t="s">
        <v>155</v>
      </c>
      <c r="H729" s="134">
        <v>80111600</v>
      </c>
      <c r="I729" s="299">
        <v>12</v>
      </c>
      <c r="J729" s="299">
        <v>1</v>
      </c>
      <c r="K729" s="135">
        <v>7</v>
      </c>
      <c r="L729" s="131">
        <v>9250000</v>
      </c>
      <c r="M729" s="142" t="s">
        <v>464</v>
      </c>
      <c r="N729" s="131" t="s">
        <v>113</v>
      </c>
      <c r="O729" s="302" t="s">
        <v>219</v>
      </c>
      <c r="P729" s="300" t="str">
        <f>IFERROR(VLOOKUP(C729,TD!$B$33:$F$37,2,0)," ")</f>
        <v>O230117</v>
      </c>
      <c r="Q729" s="300" t="str">
        <f>IFERROR(VLOOKUP(C729,TD!$B$33:$F$37,3,0)," ")</f>
        <v>4599</v>
      </c>
      <c r="R729" s="300">
        <f>IFERROR(VLOOKUP(C729,TD!$B$33:$F$37,4,0)," ")</f>
        <v>20240207</v>
      </c>
      <c r="S729" s="302" t="s">
        <v>185</v>
      </c>
      <c r="T729" s="300" t="str">
        <f>IFERROR(VLOOKUP(S729,TD!$J$34:$K$44,2,0)," ")</f>
        <v>Infraestructura física, mantenimiento y dotación (Sedes construidas, mantenidas reforzadas)</v>
      </c>
      <c r="U729" s="296" t="str">
        <f>CONCATENATE(S729,"-",T729)</f>
        <v>08-Infraestructura física, mantenimiento y dotación (Sedes construidas, mantenidas reforzadas)</v>
      </c>
      <c r="V729" s="302" t="s">
        <v>238</v>
      </c>
      <c r="W729" s="300" t="str">
        <f>IFERROR(VLOOKUP(V729,TD!$N$34:$O$46,2,0)," ")</f>
        <v>Sedes mantenidas</v>
      </c>
      <c r="X729" s="296" t="str">
        <f>CONCATENATE(V729,"_",W729)</f>
        <v>016_Sedes mantenidas</v>
      </c>
      <c r="Y729" s="296" t="str">
        <f>CONCATENATE(U729," ",X729)</f>
        <v>08-Infraestructura física, mantenimiento y dotación (Sedes construidas, mantenidas reforzadas) 016_Sedes mantenidas</v>
      </c>
      <c r="Z729" s="300" t="str">
        <f>CONCATENATE(P729,Q729,R729,S729,V729)</f>
        <v>O23011745992024020708016</v>
      </c>
      <c r="AA729" s="300" t="str">
        <f>IFERROR(VLOOKUP(Y729,TD!$K$47:$L$65,2,0)," ")</f>
        <v>PM/0131/0108/45990160207</v>
      </c>
      <c r="AB729" s="131" t="s">
        <v>120</v>
      </c>
      <c r="AC729" s="301" t="s">
        <v>205</v>
      </c>
    </row>
    <row r="730" spans="2:29" ht="70" x14ac:dyDescent="0.35">
      <c r="B730" s="132">
        <v>20250813</v>
      </c>
      <c r="C730" s="133" t="s">
        <v>208</v>
      </c>
      <c r="D730" s="246" t="s">
        <v>46</v>
      </c>
      <c r="E730" s="51" t="s">
        <v>465</v>
      </c>
      <c r="F730" s="298" t="s">
        <v>981</v>
      </c>
      <c r="G730" s="298" t="s">
        <v>156</v>
      </c>
      <c r="H730" s="134">
        <v>80111600</v>
      </c>
      <c r="I730" s="299">
        <v>8</v>
      </c>
      <c r="J730" s="299">
        <v>1</v>
      </c>
      <c r="K730" s="135">
        <v>0</v>
      </c>
      <c r="L730" s="131">
        <v>3300000</v>
      </c>
      <c r="M730" s="142" t="s">
        <v>464</v>
      </c>
      <c r="N730" s="131" t="s">
        <v>113</v>
      </c>
      <c r="O730" s="302" t="s">
        <v>219</v>
      </c>
      <c r="P730" s="300" t="str">
        <f>IFERROR(VLOOKUP(C730,TD!$B$33:$F$37,2,0)," ")</f>
        <v>O230117</v>
      </c>
      <c r="Q730" s="300" t="str">
        <f>IFERROR(VLOOKUP(C730,TD!$B$33:$F$37,3,0)," ")</f>
        <v>4599</v>
      </c>
      <c r="R730" s="300">
        <f>IFERROR(VLOOKUP(C730,TD!$B$33:$F$37,4,0)," ")</f>
        <v>20240207</v>
      </c>
      <c r="S730" s="302" t="s">
        <v>185</v>
      </c>
      <c r="T730" s="300" t="str">
        <f>IFERROR(VLOOKUP(S730,TD!$J$34:$K$44,2,0)," ")</f>
        <v>Infraestructura física, mantenimiento y dotación (Sedes construidas, mantenidas reforzadas)</v>
      </c>
      <c r="U730" s="296" t="str">
        <f>CONCATENATE(S730,"-",T730)</f>
        <v>08-Infraestructura física, mantenimiento y dotación (Sedes construidas, mantenidas reforzadas)</v>
      </c>
      <c r="V730" s="302" t="s">
        <v>238</v>
      </c>
      <c r="W730" s="300" t="str">
        <f>IFERROR(VLOOKUP(V730,TD!$N$34:$O$46,2,0)," ")</f>
        <v>Sedes mantenidas</v>
      </c>
      <c r="X730" s="296" t="str">
        <f>CONCATENATE(V730,"_",W730)</f>
        <v>016_Sedes mantenidas</v>
      </c>
      <c r="Y730" s="296" t="str">
        <f>CONCATENATE(U730," ",X730)</f>
        <v>08-Infraestructura física, mantenimiento y dotación (Sedes construidas, mantenidas reforzadas) 016_Sedes mantenidas</v>
      </c>
      <c r="Z730" s="300" t="str">
        <f>CONCATENATE(P730,Q730,R730,S730,V730)</f>
        <v>O23011745992024020708016</v>
      </c>
      <c r="AA730" s="300" t="str">
        <f>IFERROR(VLOOKUP(Y730,TD!$K$47:$L$65,2,0)," ")</f>
        <v>PM/0131/0108/45990160207</v>
      </c>
      <c r="AB730" s="131" t="s">
        <v>138</v>
      </c>
      <c r="AC730" s="301" t="s">
        <v>205</v>
      </c>
    </row>
    <row r="731" spans="2:29" ht="70" x14ac:dyDescent="0.35">
      <c r="B731" s="77">
        <v>20250814</v>
      </c>
      <c r="C731" s="50" t="s">
        <v>208</v>
      </c>
      <c r="D731" s="246" t="s">
        <v>46</v>
      </c>
      <c r="E731" s="51" t="s">
        <v>465</v>
      </c>
      <c r="F731" s="246" t="s">
        <v>469</v>
      </c>
      <c r="G731" s="246" t="s">
        <v>155</v>
      </c>
      <c r="H731" s="93">
        <v>80111600</v>
      </c>
      <c r="I731" s="247">
        <v>8</v>
      </c>
      <c r="J731" s="247">
        <v>4</v>
      </c>
      <c r="K731" s="52">
        <v>20</v>
      </c>
      <c r="L731" s="53">
        <v>30333333</v>
      </c>
      <c r="M731" s="142" t="s">
        <v>464</v>
      </c>
      <c r="N731" s="53" t="s">
        <v>113</v>
      </c>
      <c r="O731" s="51" t="s">
        <v>219</v>
      </c>
      <c r="P731" s="248" t="str">
        <f>IFERROR(VLOOKUP(C731,TD!$B$33:$F$37,2,0)," ")</f>
        <v>O230117</v>
      </c>
      <c r="Q731" s="248" t="str">
        <f>IFERROR(VLOOKUP(C731,TD!$B$33:$F$37,3,0)," ")</f>
        <v>4599</v>
      </c>
      <c r="R731" s="248">
        <f>IFERROR(VLOOKUP(C731,TD!$B$33:$F$37,4,0)," ")</f>
        <v>20240207</v>
      </c>
      <c r="S731" s="302" t="s">
        <v>185</v>
      </c>
      <c r="T731" s="300" t="str">
        <f>IFERROR(VLOOKUP(S731,TD!$J$34:$K$44,2,0)," ")</f>
        <v>Infraestructura física, mantenimiento y dotación (Sedes construidas, mantenidas reforzadas)</v>
      </c>
      <c r="U731" s="296" t="str">
        <f>CONCATENATE(S731,"-",T731)</f>
        <v>08-Infraestructura física, mantenimiento y dotación (Sedes construidas, mantenidas reforzadas)</v>
      </c>
      <c r="V731" s="302" t="s">
        <v>238</v>
      </c>
      <c r="W731" s="300" t="str">
        <f>IFERROR(VLOOKUP(V731,TD!$N$34:$O$46,2,0)," ")</f>
        <v>Sedes mantenidas</v>
      </c>
      <c r="X731" s="249" t="str">
        <f>CONCATENATE(V731,"_",W731)</f>
        <v>016_Sedes mantenidas</v>
      </c>
      <c r="Y731" s="249" t="str">
        <f>CONCATENATE(U731," ",X731)</f>
        <v>08-Infraestructura física, mantenimiento y dotación (Sedes construidas, mantenidas reforzadas) 016_Sedes mantenidas</v>
      </c>
      <c r="Z731" s="248" t="str">
        <f>CONCATENATE(P731,Q731,R731,S731,V731)</f>
        <v>O23011745992024020708016</v>
      </c>
      <c r="AA731" s="248" t="str">
        <f>IFERROR(VLOOKUP(Y731,TD!$K$47:$L$65,2,0)," ")</f>
        <v>PM/0131/0108/45990160207</v>
      </c>
      <c r="AB731" s="53" t="s">
        <v>120</v>
      </c>
      <c r="AC731" s="250" t="s">
        <v>204</v>
      </c>
    </row>
    <row r="732" spans="2:29" ht="56" x14ac:dyDescent="0.35">
      <c r="B732" s="132">
        <v>20250815</v>
      </c>
      <c r="C732" s="50" t="s">
        <v>208</v>
      </c>
      <c r="D732" s="246" t="s">
        <v>46</v>
      </c>
      <c r="E732" s="51" t="s">
        <v>465</v>
      </c>
      <c r="F732" s="298" t="s">
        <v>469</v>
      </c>
      <c r="G732" s="298" t="s">
        <v>155</v>
      </c>
      <c r="H732" s="134">
        <v>80111600</v>
      </c>
      <c r="I732" s="299">
        <v>8</v>
      </c>
      <c r="J732" s="299">
        <v>4</v>
      </c>
      <c r="K732" s="135">
        <v>19</v>
      </c>
      <c r="L732" s="131">
        <v>30116667</v>
      </c>
      <c r="M732" s="142" t="s">
        <v>464</v>
      </c>
      <c r="N732" s="131" t="s">
        <v>113</v>
      </c>
      <c r="O732" s="51" t="s">
        <v>219</v>
      </c>
      <c r="P732" s="300" t="str">
        <f>IFERROR(VLOOKUP(C732,TD!$B$33:$F$37,2,0)," ")</f>
        <v>O230117</v>
      </c>
      <c r="Q732" s="300" t="str">
        <f>IFERROR(VLOOKUP(C732,TD!$B$33:$F$37,3,0)," ")</f>
        <v>4599</v>
      </c>
      <c r="R732" s="300">
        <f>IFERROR(VLOOKUP(C732,TD!$B$33:$F$37,4,0)," ")</f>
        <v>20240207</v>
      </c>
      <c r="S732" s="302" t="s">
        <v>185</v>
      </c>
      <c r="T732" s="300" t="str">
        <f>IFERROR(VLOOKUP(S732,TD!$J$34:$K$44,2,0)," ")</f>
        <v>Infraestructura física, mantenimiento y dotación (Sedes construidas, mantenidas reforzadas)</v>
      </c>
      <c r="U732" s="296" t="str">
        <f>CONCATENATE(S732,"-",T732)</f>
        <v>08-Infraestructura física, mantenimiento y dotación (Sedes construidas, mantenidas reforzadas)</v>
      </c>
      <c r="V732" s="302" t="s">
        <v>238</v>
      </c>
      <c r="W732" s="300" t="str">
        <f>IFERROR(VLOOKUP(V732,TD!$N$34:$O$46,2,0)," ")</f>
        <v>Sedes mantenidas</v>
      </c>
      <c r="X732" s="296" t="str">
        <f>CONCATENATE(V732,"_",W732)</f>
        <v>016_Sedes mantenidas</v>
      </c>
      <c r="Y732" s="296" t="str">
        <f>CONCATENATE(U732," ",X732)</f>
        <v>08-Infraestructura física, mantenimiento y dotación (Sedes construidas, mantenidas reforzadas) 016_Sedes mantenidas</v>
      </c>
      <c r="Z732" s="300" t="str">
        <f>CONCATENATE(P732,Q732,R732,S732,V732)</f>
        <v>O23011745992024020708016</v>
      </c>
      <c r="AA732" s="300" t="str">
        <f>IFERROR(VLOOKUP(Y732,TD!$K$47:$L$65,2,0)," ")</f>
        <v>PM/0131/0108/45990160207</v>
      </c>
      <c r="AB732" s="131" t="s">
        <v>120</v>
      </c>
      <c r="AC732" s="301" t="s">
        <v>204</v>
      </c>
    </row>
    <row r="733" spans="2:29" ht="70" x14ac:dyDescent="0.35">
      <c r="B733" s="132">
        <v>20250816</v>
      </c>
      <c r="C733" s="133" t="s">
        <v>208</v>
      </c>
      <c r="D733" s="298" t="s">
        <v>46</v>
      </c>
      <c r="E733" s="302" t="s">
        <v>465</v>
      </c>
      <c r="F733" s="298" t="s">
        <v>469</v>
      </c>
      <c r="G733" s="298" t="s">
        <v>155</v>
      </c>
      <c r="H733" s="134">
        <v>80111600</v>
      </c>
      <c r="I733" s="299">
        <v>8</v>
      </c>
      <c r="J733" s="299">
        <v>4</v>
      </c>
      <c r="K733" s="135">
        <v>7</v>
      </c>
      <c r="L733" s="131">
        <v>27516667</v>
      </c>
      <c r="M733" s="142" t="s">
        <v>464</v>
      </c>
      <c r="N733" s="131" t="s">
        <v>113</v>
      </c>
      <c r="O733" s="51" t="s">
        <v>219</v>
      </c>
      <c r="P733" s="300" t="str">
        <f>IFERROR(VLOOKUP(C733,TD!$B$33:$F$37,2,0)," ")</f>
        <v>O230117</v>
      </c>
      <c r="Q733" s="300" t="str">
        <f>IFERROR(VLOOKUP(C733,TD!$B$33:$F$37,3,0)," ")</f>
        <v>4599</v>
      </c>
      <c r="R733" s="300">
        <f>IFERROR(VLOOKUP(C733,TD!$B$33:$F$37,4,0)," ")</f>
        <v>20240207</v>
      </c>
      <c r="S733" s="302" t="s">
        <v>185</v>
      </c>
      <c r="T733" s="300" t="str">
        <f>IFERROR(VLOOKUP(S733,TD!$J$34:$K$44,2,0)," ")</f>
        <v>Infraestructura física, mantenimiento y dotación (Sedes construidas, mantenidas reforzadas)</v>
      </c>
      <c r="U733" s="296" t="str">
        <f>CONCATENATE(S733,"-",T733)</f>
        <v>08-Infraestructura física, mantenimiento y dotación (Sedes construidas, mantenidas reforzadas)</v>
      </c>
      <c r="V733" s="302" t="s">
        <v>238</v>
      </c>
      <c r="W733" s="300" t="str">
        <f>IFERROR(VLOOKUP(V733,TD!$N$34:$O$46,2,0)," ")</f>
        <v>Sedes mantenidas</v>
      </c>
      <c r="X733" s="296" t="str">
        <f>CONCATENATE(V733,"_",W733)</f>
        <v>016_Sedes mantenidas</v>
      </c>
      <c r="Y733" s="296" t="str">
        <f>CONCATENATE(U733," ",X733)</f>
        <v>08-Infraestructura física, mantenimiento y dotación (Sedes construidas, mantenidas reforzadas) 016_Sedes mantenidas</v>
      </c>
      <c r="Z733" s="300" t="str">
        <f>CONCATENATE(P733,Q733,R733,S733,V733)</f>
        <v>O23011745992024020708016</v>
      </c>
      <c r="AA733" s="300" t="str">
        <f>IFERROR(VLOOKUP(Y733,TD!$K$47:$L$65,2,0)," ")</f>
        <v>PM/0131/0108/45990160207</v>
      </c>
      <c r="AB733" s="131" t="s">
        <v>120</v>
      </c>
      <c r="AC733" s="301" t="s">
        <v>204</v>
      </c>
    </row>
    <row r="734" spans="2:29" ht="56" x14ac:dyDescent="0.35">
      <c r="B734" s="132">
        <v>20250817</v>
      </c>
      <c r="C734" s="133" t="s">
        <v>208</v>
      </c>
      <c r="D734" s="298" t="s">
        <v>46</v>
      </c>
      <c r="E734" s="302" t="s">
        <v>465</v>
      </c>
      <c r="F734" s="298" t="s">
        <v>469</v>
      </c>
      <c r="G734" s="298" t="s">
        <v>155</v>
      </c>
      <c r="H734" s="134">
        <v>80111600</v>
      </c>
      <c r="I734" s="299">
        <v>9</v>
      </c>
      <c r="J734" s="299">
        <v>3</v>
      </c>
      <c r="K734" s="135">
        <v>15</v>
      </c>
      <c r="L734" s="131">
        <v>22750000</v>
      </c>
      <c r="M734" s="142" t="s">
        <v>464</v>
      </c>
      <c r="N734" s="131" t="s">
        <v>113</v>
      </c>
      <c r="O734" s="51" t="s">
        <v>219</v>
      </c>
      <c r="P734" s="300" t="str">
        <f>IFERROR(VLOOKUP(C734,TD!$B$33:$F$37,2,0)," ")</f>
        <v>O230117</v>
      </c>
      <c r="Q734" s="300" t="str">
        <f>IFERROR(VLOOKUP(C734,TD!$B$33:$F$37,3,0)," ")</f>
        <v>4599</v>
      </c>
      <c r="R734" s="300">
        <f>IFERROR(VLOOKUP(C734,TD!$B$33:$F$37,4,0)," ")</f>
        <v>20240207</v>
      </c>
      <c r="S734" s="302" t="s">
        <v>185</v>
      </c>
      <c r="T734" s="300" t="str">
        <f>IFERROR(VLOOKUP(S734,TD!$J$34:$K$44,2,0)," ")</f>
        <v>Infraestructura física, mantenimiento y dotación (Sedes construidas, mantenidas reforzadas)</v>
      </c>
      <c r="U734" s="296" t="str">
        <f>CONCATENATE(S734,"-",T734)</f>
        <v>08-Infraestructura física, mantenimiento y dotación (Sedes construidas, mantenidas reforzadas)</v>
      </c>
      <c r="V734" s="302" t="s">
        <v>238</v>
      </c>
      <c r="W734" s="300" t="str">
        <f>IFERROR(VLOOKUP(V734,TD!$N$34:$O$46,2,0)," ")</f>
        <v>Sedes mantenidas</v>
      </c>
      <c r="X734" s="296" t="str">
        <f>CONCATENATE(V734,"_",W734)</f>
        <v>016_Sedes mantenidas</v>
      </c>
      <c r="Y734" s="296" t="str">
        <f>CONCATENATE(U734," ",X734)</f>
        <v>08-Infraestructura física, mantenimiento y dotación (Sedes construidas, mantenidas reforzadas) 016_Sedes mantenidas</v>
      </c>
      <c r="Z734" s="300" t="str">
        <f>CONCATENATE(P734,Q734,R734,S734,V734)</f>
        <v>O23011745992024020708016</v>
      </c>
      <c r="AA734" s="300" t="str">
        <f>IFERROR(VLOOKUP(Y734,TD!$K$47:$L$65,2,0)," ")</f>
        <v>PM/0131/0108/45990160207</v>
      </c>
      <c r="AB734" s="131" t="s">
        <v>120</v>
      </c>
      <c r="AC734" s="301" t="s">
        <v>204</v>
      </c>
    </row>
    <row r="735" spans="2:29" ht="56" x14ac:dyDescent="0.35">
      <c r="B735" s="132">
        <v>20250818</v>
      </c>
      <c r="C735" s="133" t="s">
        <v>208</v>
      </c>
      <c r="D735" s="298" t="s">
        <v>46</v>
      </c>
      <c r="E735" s="302" t="s">
        <v>465</v>
      </c>
      <c r="F735" s="298" t="s">
        <v>811</v>
      </c>
      <c r="G735" s="298" t="s">
        <v>155</v>
      </c>
      <c r="H735" s="134">
        <v>80111600</v>
      </c>
      <c r="I735" s="299">
        <v>9</v>
      </c>
      <c r="J735" s="299">
        <v>3</v>
      </c>
      <c r="K735" s="135">
        <v>15</v>
      </c>
      <c r="L735" s="131">
        <v>17500000</v>
      </c>
      <c r="M735" s="142" t="s">
        <v>464</v>
      </c>
      <c r="N735" s="131" t="s">
        <v>113</v>
      </c>
      <c r="O735" s="51" t="s">
        <v>219</v>
      </c>
      <c r="P735" s="300" t="str">
        <f>IFERROR(VLOOKUP(C735,TD!$B$33:$F$37,2,0)," ")</f>
        <v>O230117</v>
      </c>
      <c r="Q735" s="300" t="str">
        <f>IFERROR(VLOOKUP(C735,TD!$B$33:$F$37,3,0)," ")</f>
        <v>4599</v>
      </c>
      <c r="R735" s="300">
        <f>IFERROR(VLOOKUP(C735,TD!$B$33:$F$37,4,0)," ")</f>
        <v>20240207</v>
      </c>
      <c r="S735" s="302" t="s">
        <v>185</v>
      </c>
      <c r="T735" s="300" t="str">
        <f>IFERROR(VLOOKUP(S735,TD!$J$34:$K$44,2,0)," ")</f>
        <v>Infraestructura física, mantenimiento y dotación (Sedes construidas, mantenidas reforzadas)</v>
      </c>
      <c r="U735" s="296" t="str">
        <f>CONCATENATE(S735,"-",T735)</f>
        <v>08-Infraestructura física, mantenimiento y dotación (Sedes construidas, mantenidas reforzadas)</v>
      </c>
      <c r="V735" s="302" t="s">
        <v>238</v>
      </c>
      <c r="W735" s="300" t="str">
        <f>IFERROR(VLOOKUP(V735,TD!$N$34:$O$46,2,0)," ")</f>
        <v>Sedes mantenidas</v>
      </c>
      <c r="X735" s="296" t="str">
        <f>CONCATENATE(V735,"_",W735)</f>
        <v>016_Sedes mantenidas</v>
      </c>
      <c r="Y735" s="296" t="str">
        <f>CONCATENATE(U735," ",X735)</f>
        <v>08-Infraestructura física, mantenimiento y dotación (Sedes construidas, mantenidas reforzadas) 016_Sedes mantenidas</v>
      </c>
      <c r="Z735" s="300" t="str">
        <f>CONCATENATE(P735,Q735,R735,S735,V735)</f>
        <v>O23011745992024020708016</v>
      </c>
      <c r="AA735" s="300" t="str">
        <f>IFERROR(VLOOKUP(Y735,TD!$K$47:$L$65,2,0)," ")</f>
        <v>PM/0131/0108/45990160207</v>
      </c>
      <c r="AB735" s="131" t="s">
        <v>120</v>
      </c>
      <c r="AC735" s="301" t="s">
        <v>204</v>
      </c>
    </row>
    <row r="736" spans="2:29" ht="70" x14ac:dyDescent="0.35">
      <c r="B736" s="132">
        <v>20250819</v>
      </c>
      <c r="C736" s="133" t="s">
        <v>208</v>
      </c>
      <c r="D736" s="298" t="s">
        <v>46</v>
      </c>
      <c r="E736" s="302" t="s">
        <v>465</v>
      </c>
      <c r="F736" s="298" t="s">
        <v>470</v>
      </c>
      <c r="G736" s="298" t="s">
        <v>156</v>
      </c>
      <c r="H736" s="134">
        <v>80111600</v>
      </c>
      <c r="I736" s="299">
        <v>8</v>
      </c>
      <c r="J736" s="299">
        <v>4</v>
      </c>
      <c r="K736" s="135">
        <v>0</v>
      </c>
      <c r="L736" s="131">
        <v>14000000</v>
      </c>
      <c r="M736" s="142" t="s">
        <v>464</v>
      </c>
      <c r="N736" s="131" t="s">
        <v>113</v>
      </c>
      <c r="O736" s="51" t="s">
        <v>219</v>
      </c>
      <c r="P736" s="300" t="str">
        <f>IFERROR(VLOOKUP(C736,TD!$B$33:$F$37,2,0)," ")</f>
        <v>O230117</v>
      </c>
      <c r="Q736" s="300" t="str">
        <f>IFERROR(VLOOKUP(C736,TD!$B$33:$F$37,3,0)," ")</f>
        <v>4599</v>
      </c>
      <c r="R736" s="300">
        <f>IFERROR(VLOOKUP(C736,TD!$B$33:$F$37,4,0)," ")</f>
        <v>20240207</v>
      </c>
      <c r="S736" s="302" t="s">
        <v>185</v>
      </c>
      <c r="T736" s="300" t="str">
        <f>IFERROR(VLOOKUP(S736,TD!$J$34:$K$44,2,0)," ")</f>
        <v>Infraestructura física, mantenimiento y dotación (Sedes construidas, mantenidas reforzadas)</v>
      </c>
      <c r="U736" s="296" t="str">
        <f>CONCATENATE(S736,"-",T736)</f>
        <v>08-Infraestructura física, mantenimiento y dotación (Sedes construidas, mantenidas reforzadas)</v>
      </c>
      <c r="V736" s="302" t="s">
        <v>238</v>
      </c>
      <c r="W736" s="300" t="str">
        <f>IFERROR(VLOOKUP(V736,TD!$N$34:$O$46,2,0)," ")</f>
        <v>Sedes mantenidas</v>
      </c>
      <c r="X736" s="296" t="str">
        <f>CONCATENATE(V736,"_",W736)</f>
        <v>016_Sedes mantenidas</v>
      </c>
      <c r="Y736" s="296" t="str">
        <f>CONCATENATE(U736," ",X736)</f>
        <v>08-Infraestructura física, mantenimiento y dotación (Sedes construidas, mantenidas reforzadas) 016_Sedes mantenidas</v>
      </c>
      <c r="Z736" s="300" t="str">
        <f>CONCATENATE(P736,Q736,R736,S736,V736)</f>
        <v>O23011745992024020708016</v>
      </c>
      <c r="AA736" s="300" t="str">
        <f>IFERROR(VLOOKUP(Y736,TD!$K$47:$L$65,2,0)," ")</f>
        <v>PM/0131/0108/45990160207</v>
      </c>
      <c r="AB736" s="131" t="s">
        <v>138</v>
      </c>
      <c r="AC736" s="301" t="s">
        <v>204</v>
      </c>
    </row>
    <row r="737" spans="2:29" ht="70" x14ac:dyDescent="0.35">
      <c r="B737" s="132">
        <v>20250820</v>
      </c>
      <c r="C737" s="133" t="s">
        <v>209</v>
      </c>
      <c r="D737" s="298" t="s">
        <v>168</v>
      </c>
      <c r="E737" s="302" t="s">
        <v>600</v>
      </c>
      <c r="F737" s="298" t="s">
        <v>931</v>
      </c>
      <c r="G737" s="298" t="s">
        <v>119</v>
      </c>
      <c r="H737" s="134" t="s">
        <v>387</v>
      </c>
      <c r="I737" s="299">
        <v>8</v>
      </c>
      <c r="J737" s="299">
        <v>2</v>
      </c>
      <c r="K737" s="135">
        <v>0</v>
      </c>
      <c r="L737" s="131">
        <v>33000000</v>
      </c>
      <c r="M737" s="142" t="s">
        <v>464</v>
      </c>
      <c r="N737" s="131" t="s">
        <v>95</v>
      </c>
      <c r="O737" s="51" t="s">
        <v>224</v>
      </c>
      <c r="P737" s="300" t="str">
        <f>IFERROR(VLOOKUP(C737,TD!$B$33:$F$37,2,0)," ")</f>
        <v>O230117</v>
      </c>
      <c r="Q737" s="300" t="str">
        <f>IFERROR(VLOOKUP(C737,TD!$B$33:$F$37,3,0)," ")</f>
        <v>4503</v>
      </c>
      <c r="R737" s="300">
        <f>IFERROR(VLOOKUP(C737,TD!$B$33:$F$37,4,0)," ")</f>
        <v>20240255</v>
      </c>
      <c r="S737" s="302" t="s">
        <v>191</v>
      </c>
      <c r="T737" s="300" t="str">
        <f>IFERROR(VLOOKUP(S737,TD!$J$34:$K$44,2,0)," ")</f>
        <v>Servicio de apoyo   logístico  en eventos operativos y/o emergencias.</v>
      </c>
      <c r="U737" s="296" t="str">
        <f>CONCATENATE(S737,"-",T737)</f>
        <v>12-Servicio de apoyo   logístico  en eventos operativos y/o emergencias.</v>
      </c>
      <c r="V737" s="302" t="s">
        <v>232</v>
      </c>
      <c r="W737" s="300" t="str">
        <f>IFERROR(VLOOKUP(V737,TD!$N$34:$O$46,2,0)," ")</f>
        <v>Servicio de atención a emergencias y desastres</v>
      </c>
      <c r="X737" s="296" t="str">
        <f>CONCATENATE(V737,"_",W737)</f>
        <v>004_Servicio de atención a emergencias y desastres</v>
      </c>
      <c r="Y737" s="296" t="str">
        <f>CONCATENATE(U737," ",X737)</f>
        <v>12-Servicio de apoyo   logístico  en eventos operativos y/o emergencias. 004_Servicio de atención a emergencias y desastres</v>
      </c>
      <c r="Z737" s="300" t="str">
        <f>CONCATENATE(P737,Q737,R737,S737,V737)</f>
        <v>O23011745032024025512004</v>
      </c>
      <c r="AA737" s="300" t="str">
        <f>IFERROR(VLOOKUP(Y737,TD!$K$47:$L$65,2,0)," ")</f>
        <v>PM/0131/0112/45030040255</v>
      </c>
      <c r="AB737" s="131" t="s">
        <v>110</v>
      </c>
      <c r="AC737" s="301" t="s">
        <v>205</v>
      </c>
    </row>
    <row r="738" spans="2:29" ht="56" x14ac:dyDescent="0.35">
      <c r="B738" s="132">
        <v>20250821</v>
      </c>
      <c r="C738" s="133" t="s">
        <v>209</v>
      </c>
      <c r="D738" s="298" t="s">
        <v>168</v>
      </c>
      <c r="E738" s="302" t="s">
        <v>600</v>
      </c>
      <c r="F738" s="298" t="s">
        <v>968</v>
      </c>
      <c r="G738" s="298" t="s">
        <v>119</v>
      </c>
      <c r="H738" s="134">
        <v>15101500</v>
      </c>
      <c r="I738" s="299">
        <v>8</v>
      </c>
      <c r="J738" s="299">
        <v>1</v>
      </c>
      <c r="K738" s="135">
        <v>20</v>
      </c>
      <c r="L738" s="131">
        <v>28000000</v>
      </c>
      <c r="M738" s="142" t="s">
        <v>464</v>
      </c>
      <c r="N738" s="131" t="s">
        <v>123</v>
      </c>
      <c r="O738" s="51" t="s">
        <v>224</v>
      </c>
      <c r="P738" s="300" t="str">
        <f>IFERROR(VLOOKUP(C738,TD!$B$33:$F$37,2,0)," ")</f>
        <v>O230117</v>
      </c>
      <c r="Q738" s="300" t="str">
        <f>IFERROR(VLOOKUP(C738,TD!$B$33:$F$37,3,0)," ")</f>
        <v>4503</v>
      </c>
      <c r="R738" s="300">
        <f>IFERROR(VLOOKUP(C738,TD!$B$33:$F$37,4,0)," ")</f>
        <v>20240255</v>
      </c>
      <c r="S738" s="302" t="s">
        <v>191</v>
      </c>
      <c r="T738" s="300" t="str">
        <f>IFERROR(VLOOKUP(S738,TD!$J$34:$K$44,2,0)," ")</f>
        <v>Servicio de apoyo   logístico  en eventos operativos y/o emergencias.</v>
      </c>
      <c r="U738" s="296" t="str">
        <f>CONCATENATE(S738,"-",T738)</f>
        <v>12-Servicio de apoyo   logístico  en eventos operativos y/o emergencias.</v>
      </c>
      <c r="V738" s="302" t="s">
        <v>232</v>
      </c>
      <c r="W738" s="300" t="str">
        <f>IFERROR(VLOOKUP(V738,TD!$N$34:$O$46,2,0)," ")</f>
        <v>Servicio de atención a emergencias y desastres</v>
      </c>
      <c r="X738" s="296" t="str">
        <f>CONCATENATE(V738,"_",W738)</f>
        <v>004_Servicio de atención a emergencias y desastres</v>
      </c>
      <c r="Y738" s="296" t="str">
        <f>CONCATENATE(U738," ",X738)</f>
        <v>12-Servicio de apoyo   logístico  en eventos operativos y/o emergencias. 004_Servicio de atención a emergencias y desastres</v>
      </c>
      <c r="Z738" s="300" t="str">
        <f>CONCATENATE(P738,Q738,R738,S738,V738)</f>
        <v>O23011745032024025512004</v>
      </c>
      <c r="AA738" s="300" t="str">
        <f>IFERROR(VLOOKUP(Y738,TD!$K$47:$L$65,2,0)," ")</f>
        <v>PM/0131/0112/45030040255</v>
      </c>
      <c r="AB738" s="131" t="s">
        <v>92</v>
      </c>
      <c r="AC738" s="301" t="s">
        <v>205</v>
      </c>
    </row>
    <row r="739" spans="2:29" ht="56" x14ac:dyDescent="0.35">
      <c r="B739" s="132">
        <v>20250822</v>
      </c>
      <c r="C739" s="133" t="s">
        <v>209</v>
      </c>
      <c r="D739" s="298" t="s">
        <v>169</v>
      </c>
      <c r="E739" s="302" t="s">
        <v>465</v>
      </c>
      <c r="F739" s="298" t="s">
        <v>987</v>
      </c>
      <c r="G739" s="298" t="s">
        <v>156</v>
      </c>
      <c r="H739" s="134">
        <v>80111600</v>
      </c>
      <c r="I739" s="299">
        <v>9</v>
      </c>
      <c r="J739" s="299">
        <v>3</v>
      </c>
      <c r="K739" s="135">
        <v>0</v>
      </c>
      <c r="L739" s="131">
        <f>9000000</f>
        <v>9000000</v>
      </c>
      <c r="M739" s="142" t="s">
        <v>464</v>
      </c>
      <c r="N739" s="131" t="s">
        <v>113</v>
      </c>
      <c r="O739" s="51" t="s">
        <v>222</v>
      </c>
      <c r="P739" s="300" t="str">
        <f>IFERROR(VLOOKUP(C739,TD!$B$33:$F$37,2,0)," ")</f>
        <v>O230117</v>
      </c>
      <c r="Q739" s="300" t="str">
        <f>IFERROR(VLOOKUP(C739,TD!$B$33:$F$37,3,0)," ")</f>
        <v>4503</v>
      </c>
      <c r="R739" s="300">
        <f>IFERROR(VLOOKUP(C739,TD!$B$33:$F$37,4,0)," ")</f>
        <v>20240255</v>
      </c>
      <c r="S739" s="302" t="s">
        <v>175</v>
      </c>
      <c r="T739" s="300" t="str">
        <f>IFERROR(VLOOKUP(S739,TD!$J$34:$K$44,2,0)," ")</f>
        <v>Servicio de atención a incidentes y emergencias.</v>
      </c>
      <c r="U739" s="296" t="str">
        <f>CONCATENATE(S739,"-",T739)</f>
        <v>04-Servicio de atención a incidentes y emergencias.</v>
      </c>
      <c r="V739" s="302" t="s">
        <v>232</v>
      </c>
      <c r="W739" s="300" t="str">
        <f>IFERROR(VLOOKUP(V739,TD!$N$34:$O$46,2,0)," ")</f>
        <v>Servicio de atención a emergencias y desastres</v>
      </c>
      <c r="X739" s="296" t="str">
        <f>CONCATENATE(V739,"_",W739)</f>
        <v>004_Servicio de atención a emergencias y desastres</v>
      </c>
      <c r="Y739" s="296" t="str">
        <f>CONCATENATE(U739," ",X739)</f>
        <v>04-Servicio de atención a incidentes y emergencias. 004_Servicio de atención a emergencias y desastres</v>
      </c>
      <c r="Z739" s="300" t="str">
        <f>CONCATENATE(P739,Q739,R739,S739,V739)</f>
        <v>O23011745032024025504004</v>
      </c>
      <c r="AA739" s="300" t="str">
        <f>IFERROR(VLOOKUP(Y739,TD!$K$47:$L$65,2,0)," ")</f>
        <v>PM/0131/0104/45030040255</v>
      </c>
      <c r="AB739" s="131" t="s">
        <v>138</v>
      </c>
      <c r="AC739" s="301" t="s">
        <v>205</v>
      </c>
    </row>
    <row r="740" spans="2:29" ht="42" x14ac:dyDescent="0.35">
      <c r="B740" s="132">
        <v>20250823</v>
      </c>
      <c r="C740" s="133" t="s">
        <v>209</v>
      </c>
      <c r="D740" s="298" t="s">
        <v>169</v>
      </c>
      <c r="E740" s="302" t="s">
        <v>465</v>
      </c>
      <c r="F740" s="298" t="s">
        <v>988</v>
      </c>
      <c r="G740" s="298" t="s">
        <v>156</v>
      </c>
      <c r="H740" s="134">
        <v>80111600</v>
      </c>
      <c r="I740" s="299">
        <v>9</v>
      </c>
      <c r="J740" s="299">
        <v>3</v>
      </c>
      <c r="K740" s="135">
        <v>0</v>
      </c>
      <c r="L740" s="131">
        <f>8700000</f>
        <v>8700000</v>
      </c>
      <c r="M740" s="142" t="s">
        <v>464</v>
      </c>
      <c r="N740" s="131" t="s">
        <v>113</v>
      </c>
      <c r="O740" s="51" t="s">
        <v>222</v>
      </c>
      <c r="P740" s="300" t="str">
        <f>IFERROR(VLOOKUP(C740,TD!$B$33:$F$37,2,0)," ")</f>
        <v>O230117</v>
      </c>
      <c r="Q740" s="300" t="str">
        <f>IFERROR(VLOOKUP(C740,TD!$B$33:$F$37,3,0)," ")</f>
        <v>4503</v>
      </c>
      <c r="R740" s="300">
        <f>IFERROR(VLOOKUP(C740,TD!$B$33:$F$37,4,0)," ")</f>
        <v>20240255</v>
      </c>
      <c r="S740" s="302" t="s">
        <v>175</v>
      </c>
      <c r="T740" s="300" t="str">
        <f>IFERROR(VLOOKUP(S740,TD!$J$34:$K$44,2,0)," ")</f>
        <v>Servicio de atención a incidentes y emergencias.</v>
      </c>
      <c r="U740" s="296" t="str">
        <f>CONCATENATE(S740,"-",T740)</f>
        <v>04-Servicio de atención a incidentes y emergencias.</v>
      </c>
      <c r="V740" s="302" t="s">
        <v>232</v>
      </c>
      <c r="W740" s="300" t="str">
        <f>IFERROR(VLOOKUP(V740,TD!$N$34:$O$46,2,0)," ")</f>
        <v>Servicio de atención a emergencias y desastres</v>
      </c>
      <c r="X740" s="296" t="str">
        <f>CONCATENATE(V740,"_",W740)</f>
        <v>004_Servicio de atención a emergencias y desastres</v>
      </c>
      <c r="Y740" s="296" t="str">
        <f>CONCATENATE(U740," ",X740)</f>
        <v>04-Servicio de atención a incidentes y emergencias. 004_Servicio de atención a emergencias y desastres</v>
      </c>
      <c r="Z740" s="300" t="str">
        <f>CONCATENATE(P740,Q740,R740,S740,V740)</f>
        <v>O23011745032024025504004</v>
      </c>
      <c r="AA740" s="300" t="str">
        <f>IFERROR(VLOOKUP(Y740,TD!$K$47:$L$65,2,0)," ")</f>
        <v>PM/0131/0104/45030040255</v>
      </c>
      <c r="AB740" s="131" t="s">
        <v>138</v>
      </c>
      <c r="AC740" s="301" t="s">
        <v>205</v>
      </c>
    </row>
    <row r="741" spans="2:29" ht="56" x14ac:dyDescent="0.35">
      <c r="B741" s="132">
        <v>20250824</v>
      </c>
      <c r="C741" s="133" t="s">
        <v>209</v>
      </c>
      <c r="D741" s="298" t="s">
        <v>169</v>
      </c>
      <c r="E741" s="302" t="s">
        <v>465</v>
      </c>
      <c r="F741" s="298" t="s">
        <v>989</v>
      </c>
      <c r="G741" s="298" t="s">
        <v>156</v>
      </c>
      <c r="H741" s="134">
        <v>80111600</v>
      </c>
      <c r="I741" s="299">
        <v>9</v>
      </c>
      <c r="J741" s="299">
        <v>3</v>
      </c>
      <c r="K741" s="135">
        <v>0</v>
      </c>
      <c r="L741" s="131">
        <f>8700000</f>
        <v>8700000</v>
      </c>
      <c r="M741" s="142" t="s">
        <v>464</v>
      </c>
      <c r="N741" s="131" t="s">
        <v>113</v>
      </c>
      <c r="O741" s="51" t="s">
        <v>222</v>
      </c>
      <c r="P741" s="300" t="str">
        <f>IFERROR(VLOOKUP(C741,TD!$B$33:$F$37,2,0)," ")</f>
        <v>O230117</v>
      </c>
      <c r="Q741" s="300" t="str">
        <f>IFERROR(VLOOKUP(C741,TD!$B$33:$F$37,3,0)," ")</f>
        <v>4503</v>
      </c>
      <c r="R741" s="300">
        <f>IFERROR(VLOOKUP(C741,TD!$B$33:$F$37,4,0)," ")</f>
        <v>20240255</v>
      </c>
      <c r="S741" s="302" t="s">
        <v>175</v>
      </c>
      <c r="T741" s="300" t="str">
        <f>IFERROR(VLOOKUP(S741,TD!$J$34:$K$44,2,0)," ")</f>
        <v>Servicio de atención a incidentes y emergencias.</v>
      </c>
      <c r="U741" s="296" t="str">
        <f>CONCATENATE(S741,"-",T741)</f>
        <v>04-Servicio de atención a incidentes y emergencias.</v>
      </c>
      <c r="V741" s="302" t="s">
        <v>232</v>
      </c>
      <c r="W741" s="300" t="str">
        <f>IFERROR(VLOOKUP(V741,TD!$N$34:$O$46,2,0)," ")</f>
        <v>Servicio de atención a emergencias y desastres</v>
      </c>
      <c r="X741" s="296" t="str">
        <f>CONCATENATE(V741,"_",W741)</f>
        <v>004_Servicio de atención a emergencias y desastres</v>
      </c>
      <c r="Y741" s="296" t="str">
        <f>CONCATENATE(U741," ",X741)</f>
        <v>04-Servicio de atención a incidentes y emergencias. 004_Servicio de atención a emergencias y desastres</v>
      </c>
      <c r="Z741" s="300" t="str">
        <f>CONCATENATE(P741,Q741,R741,S741,V741)</f>
        <v>O23011745032024025504004</v>
      </c>
      <c r="AA741" s="300" t="str">
        <f>IFERROR(VLOOKUP(Y741,TD!$K$47:$L$65,2,0)," ")</f>
        <v>PM/0131/0104/45030040255</v>
      </c>
      <c r="AB741" s="131" t="s">
        <v>138</v>
      </c>
      <c r="AC741" s="301" t="s">
        <v>205</v>
      </c>
    </row>
    <row r="742" spans="2:29" ht="84" x14ac:dyDescent="0.35">
      <c r="B742" s="132">
        <v>20250825</v>
      </c>
      <c r="C742" s="133" t="s">
        <v>209</v>
      </c>
      <c r="D742" s="298" t="s">
        <v>169</v>
      </c>
      <c r="E742" s="302" t="s">
        <v>465</v>
      </c>
      <c r="F742" s="298" t="s">
        <v>990</v>
      </c>
      <c r="G742" s="298" t="s">
        <v>156</v>
      </c>
      <c r="H742" s="134" t="s">
        <v>994</v>
      </c>
      <c r="I742" s="299">
        <v>9</v>
      </c>
      <c r="J742" s="299">
        <v>3</v>
      </c>
      <c r="K742" s="135">
        <v>0</v>
      </c>
      <c r="L742" s="131">
        <f>9000000</f>
        <v>9000000</v>
      </c>
      <c r="M742" s="142" t="s">
        <v>464</v>
      </c>
      <c r="N742" s="131" t="s">
        <v>113</v>
      </c>
      <c r="O742" s="51" t="s">
        <v>222</v>
      </c>
      <c r="P742" s="300" t="str">
        <f>IFERROR(VLOOKUP(C742,TD!$B$33:$F$37,2,0)," ")</f>
        <v>O230117</v>
      </c>
      <c r="Q742" s="300" t="str">
        <f>IFERROR(VLOOKUP(C742,TD!$B$33:$F$37,3,0)," ")</f>
        <v>4503</v>
      </c>
      <c r="R742" s="300">
        <f>IFERROR(VLOOKUP(C742,TD!$B$33:$F$37,4,0)," ")</f>
        <v>20240255</v>
      </c>
      <c r="S742" s="302" t="s">
        <v>175</v>
      </c>
      <c r="T742" s="300" t="str">
        <f>IFERROR(VLOOKUP(S742,TD!$J$34:$K$44,2,0)," ")</f>
        <v>Servicio de atención a incidentes y emergencias.</v>
      </c>
      <c r="U742" s="296" t="str">
        <f>CONCATENATE(S742,"-",T742)</f>
        <v>04-Servicio de atención a incidentes y emergencias.</v>
      </c>
      <c r="V742" s="302" t="s">
        <v>232</v>
      </c>
      <c r="W742" s="300" t="str">
        <f>IFERROR(VLOOKUP(V742,TD!$N$34:$O$46,2,0)," ")</f>
        <v>Servicio de atención a emergencias y desastres</v>
      </c>
      <c r="X742" s="296" t="str">
        <f>CONCATENATE(V742,"_",W742)</f>
        <v>004_Servicio de atención a emergencias y desastres</v>
      </c>
      <c r="Y742" s="296" t="str">
        <f>CONCATENATE(U742," ",X742)</f>
        <v>04-Servicio de atención a incidentes y emergencias. 004_Servicio de atención a emergencias y desastres</v>
      </c>
      <c r="Z742" s="300" t="str">
        <f>CONCATENATE(P742,Q742,R742,S742,V742)</f>
        <v>O23011745032024025504004</v>
      </c>
      <c r="AA742" s="300" t="str">
        <f>IFERROR(VLOOKUP(Y742,TD!$K$47:$L$65,2,0)," ")</f>
        <v>PM/0131/0104/45030040255</v>
      </c>
      <c r="AB742" s="131" t="s">
        <v>138</v>
      </c>
      <c r="AC742" s="301" t="s">
        <v>205</v>
      </c>
    </row>
    <row r="743" spans="2:29" ht="56" x14ac:dyDescent="0.35">
      <c r="B743" s="77">
        <v>20250826</v>
      </c>
      <c r="C743" s="50" t="s">
        <v>209</v>
      </c>
      <c r="D743" s="246" t="s">
        <v>169</v>
      </c>
      <c r="E743" s="51" t="s">
        <v>465</v>
      </c>
      <c r="F743" s="246" t="s">
        <v>991</v>
      </c>
      <c r="G743" s="246" t="s">
        <v>156</v>
      </c>
      <c r="H743" s="93">
        <v>80111600</v>
      </c>
      <c r="I743" s="247">
        <v>9</v>
      </c>
      <c r="J743" s="247">
        <v>3</v>
      </c>
      <c r="K743" s="52">
        <v>0</v>
      </c>
      <c r="L743" s="53">
        <f>9000000</f>
        <v>9000000</v>
      </c>
      <c r="M743" s="136" t="s">
        <v>464</v>
      </c>
      <c r="N743" s="53" t="s">
        <v>113</v>
      </c>
      <c r="O743" s="51" t="s">
        <v>222</v>
      </c>
      <c r="P743" s="248" t="str">
        <f>IFERROR(VLOOKUP(C743,TD!$B$33:$F$37,2,0)," ")</f>
        <v>O230117</v>
      </c>
      <c r="Q743" s="248" t="str">
        <f>IFERROR(VLOOKUP(C743,TD!$B$33:$F$37,3,0)," ")</f>
        <v>4503</v>
      </c>
      <c r="R743" s="248">
        <f>IFERROR(VLOOKUP(C743,TD!$B$33:$F$37,4,0)," ")</f>
        <v>20240255</v>
      </c>
      <c r="S743" s="302" t="s">
        <v>175</v>
      </c>
      <c r="T743" s="300" t="str">
        <f>IFERROR(VLOOKUP(S743,TD!$J$34:$K$44,2,0)," ")</f>
        <v>Servicio de atención a incidentes y emergencias.</v>
      </c>
      <c r="U743" s="296" t="str">
        <f>CONCATENATE(S743,"-",T743)</f>
        <v>04-Servicio de atención a incidentes y emergencias.</v>
      </c>
      <c r="V743" s="302" t="s">
        <v>232</v>
      </c>
      <c r="W743" s="300" t="str">
        <f>IFERROR(VLOOKUP(V743,TD!$N$34:$O$46,2,0)," ")</f>
        <v>Servicio de atención a emergencias y desastres</v>
      </c>
      <c r="X743" s="249" t="str">
        <f>CONCATENATE(V743,"_",W743)</f>
        <v>004_Servicio de atención a emergencias y desastres</v>
      </c>
      <c r="Y743" s="249" t="str">
        <f>CONCATENATE(U743," ",X743)</f>
        <v>04-Servicio de atención a incidentes y emergencias. 004_Servicio de atención a emergencias y desastres</v>
      </c>
      <c r="Z743" s="248" t="str">
        <f>CONCATENATE(P743,Q743,R743,S743,V743)</f>
        <v>O23011745032024025504004</v>
      </c>
      <c r="AA743" s="248" t="str">
        <f>IFERROR(VLOOKUP(Y743,TD!$K$47:$L$65,2,0)," ")</f>
        <v>PM/0131/0104/45030040255</v>
      </c>
      <c r="AB743" s="53" t="s">
        <v>138</v>
      </c>
      <c r="AC743" s="250" t="s">
        <v>205</v>
      </c>
    </row>
    <row r="744" spans="2:29" ht="42" x14ac:dyDescent="0.35">
      <c r="B744" s="132">
        <v>20250827</v>
      </c>
      <c r="C744" s="133" t="s">
        <v>209</v>
      </c>
      <c r="D744" s="246" t="s">
        <v>169</v>
      </c>
      <c r="E744" s="51" t="s">
        <v>465</v>
      </c>
      <c r="F744" s="298" t="s">
        <v>992</v>
      </c>
      <c r="G744" s="246" t="s">
        <v>156</v>
      </c>
      <c r="H744" s="134">
        <v>80111600</v>
      </c>
      <c r="I744" s="299">
        <v>9</v>
      </c>
      <c r="J744" s="299">
        <v>3</v>
      </c>
      <c r="K744" s="135">
        <v>0</v>
      </c>
      <c r="L744" s="131">
        <f>8700000</f>
        <v>8700000</v>
      </c>
      <c r="M744" s="142" t="s">
        <v>464</v>
      </c>
      <c r="N744" s="53" t="s">
        <v>113</v>
      </c>
      <c r="O744" s="51" t="s">
        <v>222</v>
      </c>
      <c r="P744" s="300" t="str">
        <f>IFERROR(VLOOKUP(C744,TD!$B$33:$F$37,2,0)," ")</f>
        <v>O230117</v>
      </c>
      <c r="Q744" s="300" t="str">
        <f>IFERROR(VLOOKUP(C744,TD!$B$33:$F$37,3,0)," ")</f>
        <v>4503</v>
      </c>
      <c r="R744" s="300">
        <f>IFERROR(VLOOKUP(C744,TD!$B$33:$F$37,4,0)," ")</f>
        <v>20240255</v>
      </c>
      <c r="S744" s="302" t="s">
        <v>175</v>
      </c>
      <c r="T744" s="300" t="str">
        <f>IFERROR(VLOOKUP(S744,TD!$J$34:$K$44,2,0)," ")</f>
        <v>Servicio de atención a incidentes y emergencias.</v>
      </c>
      <c r="U744" s="296" t="str">
        <f>CONCATENATE(S744,"-",T744)</f>
        <v>04-Servicio de atención a incidentes y emergencias.</v>
      </c>
      <c r="V744" s="302" t="s">
        <v>232</v>
      </c>
      <c r="W744" s="300" t="str">
        <f>IFERROR(VLOOKUP(V744,TD!$N$34:$O$46,2,0)," ")</f>
        <v>Servicio de atención a emergencias y desastres</v>
      </c>
      <c r="X744" s="296" t="str">
        <f>CONCATENATE(V744,"_",W744)</f>
        <v>004_Servicio de atención a emergencias y desastres</v>
      </c>
      <c r="Y744" s="296" t="str">
        <f>CONCATENATE(U744," ",X744)</f>
        <v>04-Servicio de atención a incidentes y emergencias. 004_Servicio de atención a emergencias y desastres</v>
      </c>
      <c r="Z744" s="300" t="str">
        <f>CONCATENATE(P744,Q744,R744,S744,V744)</f>
        <v>O23011745032024025504004</v>
      </c>
      <c r="AA744" s="300" t="str">
        <f>IFERROR(VLOOKUP(Y744,TD!$K$47:$L$65,2,0)," ")</f>
        <v>PM/0131/0104/45030040255</v>
      </c>
      <c r="AB744" s="131" t="s">
        <v>138</v>
      </c>
      <c r="AC744" s="301" t="s">
        <v>205</v>
      </c>
    </row>
    <row r="745" spans="2:29" ht="42" x14ac:dyDescent="0.35">
      <c r="B745" s="137">
        <v>20250828</v>
      </c>
      <c r="C745" s="138" t="s">
        <v>209</v>
      </c>
      <c r="D745" s="251" t="s">
        <v>169</v>
      </c>
      <c r="E745" s="252" t="s">
        <v>465</v>
      </c>
      <c r="F745" s="292" t="s">
        <v>1064</v>
      </c>
      <c r="G745" s="251" t="s">
        <v>156</v>
      </c>
      <c r="H745" s="139">
        <v>80111600</v>
      </c>
      <c r="I745" s="293">
        <v>9</v>
      </c>
      <c r="J745" s="293">
        <v>3</v>
      </c>
      <c r="K745" s="140">
        <v>0</v>
      </c>
      <c r="L745" s="141">
        <f>8700000</f>
        <v>8700000</v>
      </c>
      <c r="M745" s="158" t="s">
        <v>464</v>
      </c>
      <c r="N745" s="125" t="s">
        <v>113</v>
      </c>
      <c r="O745" s="252" t="s">
        <v>222</v>
      </c>
      <c r="P745" s="294" t="str">
        <f>IFERROR(VLOOKUP(C745,TD!$B$33:$F$37,2,0)," ")</f>
        <v>O230117</v>
      </c>
      <c r="Q745" s="294" t="str">
        <f>IFERROR(VLOOKUP(C745,TD!$B$33:$F$37,3,0)," ")</f>
        <v>4503</v>
      </c>
      <c r="R745" s="294">
        <f>IFERROR(VLOOKUP(C745,TD!$B$33:$F$37,4,0)," ")</f>
        <v>20240255</v>
      </c>
      <c r="S745" s="295" t="s">
        <v>175</v>
      </c>
      <c r="T745" s="294" t="str">
        <f>IFERROR(VLOOKUP(S745,TD!$J$34:$K$44,2,0)," ")</f>
        <v>Servicio de atención a incidentes y emergencias.</v>
      </c>
      <c r="U745" s="296" t="str">
        <f>CONCATENATE(S745,"-",T745)</f>
        <v>04-Servicio de atención a incidentes y emergencias.</v>
      </c>
      <c r="V745" s="295" t="s">
        <v>232</v>
      </c>
      <c r="W745" s="254" t="str">
        <f>IFERROR(VLOOKUP(V745,TD!$N$34:$O$46,2,0)," ")</f>
        <v>Servicio de atención a emergencias y desastres</v>
      </c>
      <c r="X745" s="296" t="str">
        <f>CONCATENATE(V745,"_",W745)</f>
        <v>004_Servicio de atención a emergencias y desastres</v>
      </c>
      <c r="Y745" s="296" t="str">
        <f>CONCATENATE(U745," ",X745)</f>
        <v>04-Servicio de atención a incidentes y emergencias. 004_Servicio de atención a emergencias y desastres</v>
      </c>
      <c r="Z745" s="294" t="str">
        <f>CONCATENATE(P745,Q745,R745,S745,V745)</f>
        <v>O23011745032024025504004</v>
      </c>
      <c r="AA745" s="294" t="str">
        <f>IFERROR(VLOOKUP(Y745,TD!$K$47:$L$65,2,0)," ")</f>
        <v>PM/0131/0104/45030040255</v>
      </c>
      <c r="AB745" s="141" t="s">
        <v>138</v>
      </c>
      <c r="AC745" s="297" t="s">
        <v>205</v>
      </c>
    </row>
    <row r="746" spans="2:29" ht="112" x14ac:dyDescent="0.35">
      <c r="B746" s="132">
        <v>20250829</v>
      </c>
      <c r="C746" s="133" t="s">
        <v>209</v>
      </c>
      <c r="D746" s="246" t="s">
        <v>169</v>
      </c>
      <c r="E746" s="51" t="s">
        <v>465</v>
      </c>
      <c r="F746" s="298" t="s">
        <v>993</v>
      </c>
      <c r="G746" s="298" t="s">
        <v>155</v>
      </c>
      <c r="H746" s="134">
        <v>80111600</v>
      </c>
      <c r="I746" s="299">
        <v>8</v>
      </c>
      <c r="J746" s="299">
        <v>5</v>
      </c>
      <c r="K746" s="135">
        <v>0</v>
      </c>
      <c r="L746" s="131">
        <f>42500000</f>
        <v>42500000</v>
      </c>
      <c r="M746" s="142" t="s">
        <v>464</v>
      </c>
      <c r="N746" s="131" t="s">
        <v>113</v>
      </c>
      <c r="O746" s="51" t="s">
        <v>222</v>
      </c>
      <c r="P746" s="300" t="str">
        <f>IFERROR(VLOOKUP(C746,TD!$B$33:$F$37,2,0)," ")</f>
        <v>O230117</v>
      </c>
      <c r="Q746" s="300" t="str">
        <f>IFERROR(VLOOKUP(C746,TD!$B$33:$F$37,3,0)," ")</f>
        <v>4503</v>
      </c>
      <c r="R746" s="300">
        <f>IFERROR(VLOOKUP(C746,TD!$B$33:$F$37,4,0)," ")</f>
        <v>20240255</v>
      </c>
      <c r="S746" s="302" t="s">
        <v>175</v>
      </c>
      <c r="T746" s="300" t="str">
        <f>IFERROR(VLOOKUP(S746,TD!$J$34:$K$44,2,0)," ")</f>
        <v>Servicio de atención a incidentes y emergencias.</v>
      </c>
      <c r="U746" s="296" t="str">
        <f>CONCATENATE(S746,"-",T746)</f>
        <v>04-Servicio de atención a incidentes y emergencias.</v>
      </c>
      <c r="V746" s="302" t="s">
        <v>232</v>
      </c>
      <c r="W746" s="248" t="str">
        <f>IFERROR(VLOOKUP(V746,TD!$N$34:$O$46,2,0)," ")</f>
        <v>Servicio de atención a emergencias y desastres</v>
      </c>
      <c r="X746" s="296" t="str">
        <f>CONCATENATE(V746,"_",W746)</f>
        <v>004_Servicio de atención a emergencias y desastres</v>
      </c>
      <c r="Y746" s="296" t="str">
        <f>CONCATENATE(U746," ",X746)</f>
        <v>04-Servicio de atención a incidentes y emergencias. 004_Servicio de atención a emergencias y desastres</v>
      </c>
      <c r="Z746" s="300" t="str">
        <f>CONCATENATE(P746,Q746,R746,S746,V746)</f>
        <v>O23011745032024025504004</v>
      </c>
      <c r="AA746" s="300" t="str">
        <f>IFERROR(VLOOKUP(Y746,TD!$K$47:$L$65,2,0)," ")</f>
        <v>PM/0131/0104/45030040255</v>
      </c>
      <c r="AB746" s="131" t="s">
        <v>120</v>
      </c>
      <c r="AC746" s="301" t="s">
        <v>204</v>
      </c>
    </row>
    <row r="747" spans="2:29" ht="126" x14ac:dyDescent="0.35">
      <c r="B747" s="132">
        <v>20250830</v>
      </c>
      <c r="C747" s="133" t="s">
        <v>346</v>
      </c>
      <c r="D747" s="246" t="s">
        <v>165</v>
      </c>
      <c r="E747" s="51" t="s">
        <v>484</v>
      </c>
      <c r="F747" s="298" t="s">
        <v>995</v>
      </c>
      <c r="G747" s="298" t="s">
        <v>137</v>
      </c>
      <c r="H747" s="134" t="s">
        <v>406</v>
      </c>
      <c r="I747" s="299">
        <v>8</v>
      </c>
      <c r="J747" s="299">
        <v>1</v>
      </c>
      <c r="K747" s="135">
        <v>0</v>
      </c>
      <c r="L747" s="131">
        <v>74022000</v>
      </c>
      <c r="M747" s="142" t="s">
        <v>172</v>
      </c>
      <c r="N747" s="131" t="s">
        <v>128</v>
      </c>
      <c r="O747" s="51" t="s">
        <v>347</v>
      </c>
      <c r="P747" s="300" t="str">
        <f>IFERROR(VLOOKUP(C747,TD!$B$33:$F$37,2,0)," ")</f>
        <v>NA</v>
      </c>
      <c r="Q747" s="300" t="str">
        <f>IFERROR(VLOOKUP(C747,TD!$B$33:$F$37,3,0)," ")</f>
        <v>NA</v>
      </c>
      <c r="R747" s="300" t="str">
        <f>IFERROR(VLOOKUP(C747,TD!$B$33:$F$37,4,0)," ")</f>
        <v>NA</v>
      </c>
      <c r="S747" s="302" t="s">
        <v>406</v>
      </c>
      <c r="T747" s="300" t="str">
        <f>IFERROR(VLOOKUP(S747,TD!$J$34:$K$44,2,0)," ")</f>
        <v>N/A</v>
      </c>
      <c r="U747" s="296" t="str">
        <f>CONCATENATE(S747,"-",T747)</f>
        <v>N/A-N/A</v>
      </c>
      <c r="V747" s="302" t="s">
        <v>406</v>
      </c>
      <c r="W747" s="248" t="str">
        <f>IFERROR(VLOOKUP(V747,TD!$N$34:$O$46,2,0)," ")</f>
        <v>N/A</v>
      </c>
      <c r="X747" s="296" t="str">
        <f>CONCATENATE(V747,"_",W747)</f>
        <v>N/A_N/A</v>
      </c>
      <c r="Y747" s="296" t="str">
        <f>CONCATENATE(U747," ",X747)</f>
        <v>N/A-N/A N/A_N/A</v>
      </c>
      <c r="Z747" s="300" t="str">
        <f>CONCATENATE(P747,Q747,R747,S747,V747)</f>
        <v>NANANAN/AN/A</v>
      </c>
      <c r="AA747" s="300" t="str">
        <f>IFERROR(VLOOKUP(Y747,TD!$K$47:$L$65,2,0)," ")</f>
        <v>N/A</v>
      </c>
      <c r="AB747" s="131" t="s">
        <v>348</v>
      </c>
      <c r="AC747" s="301" t="s">
        <v>204</v>
      </c>
    </row>
    <row r="748" spans="2:29" ht="70" x14ac:dyDescent="0.35">
      <c r="B748" s="132">
        <v>20250831</v>
      </c>
      <c r="C748" s="133" t="s">
        <v>209</v>
      </c>
      <c r="D748" s="246" t="s">
        <v>165</v>
      </c>
      <c r="E748" s="51" t="s">
        <v>484</v>
      </c>
      <c r="F748" s="298" t="s">
        <v>1117</v>
      </c>
      <c r="G748" s="298" t="s">
        <v>137</v>
      </c>
      <c r="H748" s="134" t="s">
        <v>406</v>
      </c>
      <c r="I748" s="299" t="s">
        <v>406</v>
      </c>
      <c r="J748" s="299" t="s">
        <v>406</v>
      </c>
      <c r="K748" s="135" t="s">
        <v>406</v>
      </c>
      <c r="L748" s="131">
        <v>2100000</v>
      </c>
      <c r="M748" s="142" t="s">
        <v>173</v>
      </c>
      <c r="N748" s="131" t="s">
        <v>128</v>
      </c>
      <c r="O748" s="51" t="s">
        <v>229</v>
      </c>
      <c r="P748" s="300" t="str">
        <f>IFERROR(VLOOKUP(C748,TD!$B$33:$F$37,2,0)," ")</f>
        <v>O230117</v>
      </c>
      <c r="Q748" s="300" t="str">
        <f>IFERROR(VLOOKUP(C748,TD!$B$33:$F$37,3,0)," ")</f>
        <v>4503</v>
      </c>
      <c r="R748" s="300">
        <f>IFERROR(VLOOKUP(C748,TD!$B$33:$F$37,4,0)," ")</f>
        <v>20240255</v>
      </c>
      <c r="S748" s="302" t="s">
        <v>183</v>
      </c>
      <c r="T748" s="300" t="str">
        <f>IFERROR(VLOOKUP(S748,TD!$J$34:$K$44,2,0)," ")</f>
        <v>Servicio de formación en gestión del riesgo de incendios para el personal UAECOB</v>
      </c>
      <c r="U748" s="296" t="str">
        <f>CONCATENATE(S748,"-",T748)</f>
        <v>07-Servicio de formación en gestión del riesgo de incendios para el personal UAECOB</v>
      </c>
      <c r="V748" s="302" t="s">
        <v>233</v>
      </c>
      <c r="W748" s="248" t="str">
        <f>IFERROR(VLOOKUP(V748,TD!$N$34:$O$46,2,0)," ")</f>
        <v>Servicio de educación informal</v>
      </c>
      <c r="X748" s="296" t="str">
        <f>CONCATENATE(V748,"_",W748)</f>
        <v>002_Servicio de educación informal</v>
      </c>
      <c r="Y748" s="296" t="str">
        <f>CONCATENATE(U748," ",X748)</f>
        <v>07-Servicio de formación en gestión del riesgo de incendios para el personal UAECOB 002_Servicio de educación informal</v>
      </c>
      <c r="Z748" s="300" t="str">
        <f>CONCATENATE(P748,Q748,R748,S748,V748)</f>
        <v>O23011745032024025507002</v>
      </c>
      <c r="AA748" s="300" t="str">
        <f>IFERROR(VLOOKUP(Y748,TD!$K$47:$L$65,2,0)," ")</f>
        <v>PM/0131/0107/45030020255</v>
      </c>
      <c r="AB748" s="131" t="s">
        <v>138</v>
      </c>
      <c r="AC748" s="301" t="s">
        <v>205</v>
      </c>
    </row>
    <row r="749" spans="2:29" ht="70" x14ac:dyDescent="0.35">
      <c r="B749" s="132">
        <v>20250832</v>
      </c>
      <c r="C749" s="133" t="s">
        <v>208</v>
      </c>
      <c r="D749" s="246" t="s">
        <v>166</v>
      </c>
      <c r="E749" s="51" t="s">
        <v>558</v>
      </c>
      <c r="F749" s="298" t="s">
        <v>997</v>
      </c>
      <c r="G749" s="298" t="s">
        <v>96</v>
      </c>
      <c r="H749" s="134" t="s">
        <v>560</v>
      </c>
      <c r="I749" s="299">
        <v>8</v>
      </c>
      <c r="J749" s="299">
        <v>1</v>
      </c>
      <c r="K749" s="135">
        <v>0</v>
      </c>
      <c r="L749" s="131">
        <v>39178422</v>
      </c>
      <c r="M749" s="142" t="s">
        <v>464</v>
      </c>
      <c r="N749" s="131" t="s">
        <v>123</v>
      </c>
      <c r="O749" s="51" t="s">
        <v>218</v>
      </c>
      <c r="P749" s="300" t="str">
        <f>IFERROR(VLOOKUP(C749,TD!$B$33:$F$37,2,0)," ")</f>
        <v>O230117</v>
      </c>
      <c r="Q749" s="300" t="str">
        <f>IFERROR(VLOOKUP(C749,TD!$B$33:$F$37,3,0)," ")</f>
        <v>4599</v>
      </c>
      <c r="R749" s="300">
        <f>IFERROR(VLOOKUP(C749,TD!$B$33:$F$37,4,0)," ")</f>
        <v>20240207</v>
      </c>
      <c r="S749" s="302" t="s">
        <v>185</v>
      </c>
      <c r="T749" s="300" t="str">
        <f>IFERROR(VLOOKUP(S749,TD!$J$34:$K$44,2,0)," ")</f>
        <v>Infraestructura física, mantenimiento y dotación (Sedes construidas, mantenidas reforzadas)</v>
      </c>
      <c r="U749" s="296" t="str">
        <f>CONCATENATE(S749,"-",T749)</f>
        <v>08-Infraestructura física, mantenimiento y dotación (Sedes construidas, mantenidas reforzadas)</v>
      </c>
      <c r="V749" s="302" t="s">
        <v>238</v>
      </c>
      <c r="W749" s="248" t="str">
        <f>IFERROR(VLOOKUP(V749,TD!$N$34:$O$46,2,0)," ")</f>
        <v>Sedes mantenidas</v>
      </c>
      <c r="X749" s="296" t="str">
        <f>CONCATENATE(V749,"_",W749)</f>
        <v>016_Sedes mantenidas</v>
      </c>
      <c r="Y749" s="296" t="str">
        <f>CONCATENATE(U749," ",X749)</f>
        <v>08-Infraestructura física, mantenimiento y dotación (Sedes construidas, mantenidas reforzadas) 016_Sedes mantenidas</v>
      </c>
      <c r="Z749" s="300" t="str">
        <f>CONCATENATE(P749,Q749,R749,S749,V749)</f>
        <v>O23011745992024020708016</v>
      </c>
      <c r="AA749" s="300" t="str">
        <f>IFERROR(VLOOKUP(Y749,TD!$K$47:$L$65,2,0)," ")</f>
        <v>PM/0131/0108/45990160207</v>
      </c>
      <c r="AB749" s="131" t="s">
        <v>143</v>
      </c>
      <c r="AC749" s="301" t="s">
        <v>204</v>
      </c>
    </row>
    <row r="750" spans="2:29" ht="112" x14ac:dyDescent="0.35">
      <c r="B750" s="132">
        <v>20250833</v>
      </c>
      <c r="C750" s="133" t="s">
        <v>346</v>
      </c>
      <c r="D750" s="246" t="s">
        <v>166</v>
      </c>
      <c r="E750" s="51" t="s">
        <v>558</v>
      </c>
      <c r="F750" s="298" t="s">
        <v>997</v>
      </c>
      <c r="G750" s="298" t="s">
        <v>96</v>
      </c>
      <c r="H750" s="134" t="s">
        <v>560</v>
      </c>
      <c r="I750" s="299">
        <v>8</v>
      </c>
      <c r="J750" s="299">
        <v>1</v>
      </c>
      <c r="K750" s="135">
        <v>0</v>
      </c>
      <c r="L750" s="131">
        <v>39178422</v>
      </c>
      <c r="M750" s="142" t="s">
        <v>172</v>
      </c>
      <c r="N750" s="131" t="s">
        <v>123</v>
      </c>
      <c r="O750" s="51" t="s">
        <v>347</v>
      </c>
      <c r="P750" s="300" t="str">
        <f>IFERROR(VLOOKUP(C750,TD!$B$33:$F$37,2,0)," ")</f>
        <v>NA</v>
      </c>
      <c r="Q750" s="300" t="str">
        <f>IFERROR(VLOOKUP(C750,TD!$B$33:$F$37,3,0)," ")</f>
        <v>NA</v>
      </c>
      <c r="R750" s="300" t="str">
        <f>IFERROR(VLOOKUP(C750,TD!$B$33:$F$37,4,0)," ")</f>
        <v>NA</v>
      </c>
      <c r="S750" s="302" t="s">
        <v>406</v>
      </c>
      <c r="T750" s="300" t="str">
        <f>IFERROR(VLOOKUP(S750,TD!$J$34:$K$44,2,0)," ")</f>
        <v>N/A</v>
      </c>
      <c r="U750" s="296" t="str">
        <f>CONCATENATE(S750,"-",T750)</f>
        <v>N/A-N/A</v>
      </c>
      <c r="V750" s="302" t="s">
        <v>406</v>
      </c>
      <c r="W750" s="248" t="str">
        <f>IFERROR(VLOOKUP(V750,TD!$J$34:$K$44,2,0)," ")</f>
        <v>N/A</v>
      </c>
      <c r="X750" s="296" t="str">
        <f>CONCATENATE(V750,"_",W750)</f>
        <v>N/A_N/A</v>
      </c>
      <c r="Y750" s="296" t="str">
        <f>CONCATENATE(U750," ",X750)</f>
        <v>N/A-N/A N/A_N/A</v>
      </c>
      <c r="Z750" s="300" t="str">
        <f>CONCATENATE(P750,Q750,R750,S750,V750)</f>
        <v>NANANAN/AN/A</v>
      </c>
      <c r="AA750" s="300" t="str">
        <f>IFERROR(VLOOKUP(Y750,TD!$K$47:$L$65,2,0)," ")</f>
        <v>N/A</v>
      </c>
      <c r="AB750" s="131" t="s">
        <v>348</v>
      </c>
      <c r="AC750" s="301" t="s">
        <v>204</v>
      </c>
    </row>
    <row r="751" spans="2:29" ht="112" x14ac:dyDescent="0.35">
      <c r="B751" s="132">
        <v>20250834</v>
      </c>
      <c r="C751" s="133" t="s">
        <v>346</v>
      </c>
      <c r="D751" s="246" t="s">
        <v>166</v>
      </c>
      <c r="E751" s="51" t="s">
        <v>558</v>
      </c>
      <c r="F751" s="298" t="s">
        <v>997</v>
      </c>
      <c r="G751" s="298" t="s">
        <v>96</v>
      </c>
      <c r="H751" s="134" t="s">
        <v>560</v>
      </c>
      <c r="I751" s="299">
        <v>8</v>
      </c>
      <c r="J751" s="299">
        <v>1</v>
      </c>
      <c r="K751" s="135">
        <v>0</v>
      </c>
      <c r="L751" s="131">
        <v>24625216</v>
      </c>
      <c r="M751" s="142" t="s">
        <v>172</v>
      </c>
      <c r="N751" s="131" t="s">
        <v>123</v>
      </c>
      <c r="O751" s="51" t="s">
        <v>347</v>
      </c>
      <c r="P751" s="300" t="str">
        <f>IFERROR(VLOOKUP(C751,TD!$B$33:$F$37,2,0)," ")</f>
        <v>NA</v>
      </c>
      <c r="Q751" s="300" t="str">
        <f>IFERROR(VLOOKUP(C751,TD!$B$33:$F$37,3,0)," ")</f>
        <v>NA</v>
      </c>
      <c r="R751" s="300" t="str">
        <f>IFERROR(VLOOKUP(C751,TD!$B$33:$F$37,4,0)," ")</f>
        <v>NA</v>
      </c>
      <c r="S751" s="302" t="s">
        <v>406</v>
      </c>
      <c r="T751" s="300" t="str">
        <f>IFERROR(VLOOKUP(S751,TD!$J$34:$K$44,2,0)," ")</f>
        <v>N/A</v>
      </c>
      <c r="U751" s="296" t="str">
        <f>CONCATENATE(S751,"-",T751)</f>
        <v>N/A-N/A</v>
      </c>
      <c r="V751" s="302" t="s">
        <v>406</v>
      </c>
      <c r="W751" s="248" t="str">
        <f>IFERROR(VLOOKUP(V751,TD!$N$34:$O$46,2,0)," ")</f>
        <v>N/A</v>
      </c>
      <c r="X751" s="296" t="str">
        <f>CONCATENATE(V751,"_",W751)</f>
        <v>N/A_N/A</v>
      </c>
      <c r="Y751" s="296" t="str">
        <f>CONCATENATE(U751," ",X751)</f>
        <v>N/A-N/A N/A_N/A</v>
      </c>
      <c r="Z751" s="300" t="str">
        <f>CONCATENATE(P751,Q751,R751,S751,V751)</f>
        <v>NANANAN/AN/A</v>
      </c>
      <c r="AA751" s="300" t="str">
        <f>IFERROR(VLOOKUP(Y751,TD!$K$47:$L$65,2,0)," ")</f>
        <v>N/A</v>
      </c>
      <c r="AB751" s="131" t="s">
        <v>348</v>
      </c>
      <c r="AC751" s="301" t="s">
        <v>204</v>
      </c>
    </row>
    <row r="752" spans="2:29" ht="98" x14ac:dyDescent="0.35">
      <c r="B752" s="132">
        <v>20250835</v>
      </c>
      <c r="C752" s="133" t="s">
        <v>209</v>
      </c>
      <c r="D752" s="246" t="s">
        <v>166</v>
      </c>
      <c r="E752" s="51" t="s">
        <v>558</v>
      </c>
      <c r="F752" s="298" t="s">
        <v>998</v>
      </c>
      <c r="G752" s="298" t="s">
        <v>137</v>
      </c>
      <c r="H752" s="134" t="s">
        <v>406</v>
      </c>
      <c r="I752" s="299" t="s">
        <v>406</v>
      </c>
      <c r="J752" s="299" t="s">
        <v>406</v>
      </c>
      <c r="K752" s="135" t="s">
        <v>406</v>
      </c>
      <c r="L752" s="131">
        <v>12461974</v>
      </c>
      <c r="M752" s="142" t="s">
        <v>173</v>
      </c>
      <c r="N752" s="131" t="s">
        <v>128</v>
      </c>
      <c r="O752" s="51" t="s">
        <v>227</v>
      </c>
      <c r="P752" s="300" t="str">
        <f>IFERROR(VLOOKUP(C752,TD!$B$33:$F$37,2,0)," ")</f>
        <v>O230117</v>
      </c>
      <c r="Q752" s="300" t="str">
        <f>IFERROR(VLOOKUP(C752,TD!$B$33:$F$37,3,0)," ")</f>
        <v>4503</v>
      </c>
      <c r="R752" s="300">
        <f>IFERROR(VLOOKUP(C752,TD!$B$33:$F$37,4,0)," ")</f>
        <v>20240255</v>
      </c>
      <c r="S752" s="302" t="s">
        <v>185</v>
      </c>
      <c r="T752" s="300" t="str">
        <f>IFERROR(VLOOKUP(S752,TD!$J$34:$K$44,2,0)," ")</f>
        <v>Infraestructura física, mantenimiento y dotación (Sedes construidas, mantenidas reforzadas)</v>
      </c>
      <c r="U752" s="296" t="str">
        <f>CONCATENATE(S752,"-",T752)</f>
        <v>08-Infraestructura física, mantenimiento y dotación (Sedes construidas, mantenidas reforzadas)</v>
      </c>
      <c r="V752" s="302" t="s">
        <v>236</v>
      </c>
      <c r="W752" s="248" t="str">
        <f>IFERROR(VLOOKUP(V752,TD!$N$34:$O$46,2,0)," ")</f>
        <v>Estaciones de bomberos adecuadas</v>
      </c>
      <c r="X752" s="296" t="str">
        <f>CONCATENATE(V752,"_",W752)</f>
        <v>014_Estaciones de bomberos adecuadas</v>
      </c>
      <c r="Y752" s="296" t="str">
        <f>CONCATENATE(U752," ",X752)</f>
        <v>08-Infraestructura física, mantenimiento y dotación (Sedes construidas, mantenidas reforzadas) 014_Estaciones de bomberos adecuadas</v>
      </c>
      <c r="Z752" s="300" t="str">
        <f>CONCATENATE(P752,Q752,R752,S752,V752)</f>
        <v>O23011745032024025508014</v>
      </c>
      <c r="AA752" s="300" t="str">
        <f>IFERROR(VLOOKUP(Y752,TD!$K$47:$L$65,2,0)," ")</f>
        <v>PM/0131/0108/45030140255</v>
      </c>
      <c r="AB752" s="131" t="s">
        <v>102</v>
      </c>
      <c r="AC752" s="301" t="s">
        <v>205</v>
      </c>
    </row>
    <row r="753" spans="2:29" ht="112" x14ac:dyDescent="0.35">
      <c r="B753" s="132">
        <v>20250836</v>
      </c>
      <c r="C753" s="133" t="s">
        <v>209</v>
      </c>
      <c r="D753" s="246" t="s">
        <v>166</v>
      </c>
      <c r="E753" s="51" t="s">
        <v>558</v>
      </c>
      <c r="F753" s="298" t="s">
        <v>999</v>
      </c>
      <c r="G753" s="298" t="s">
        <v>137</v>
      </c>
      <c r="H753" s="134" t="s">
        <v>406</v>
      </c>
      <c r="I753" s="299" t="s">
        <v>406</v>
      </c>
      <c r="J753" s="299" t="s">
        <v>406</v>
      </c>
      <c r="K753" s="135" t="s">
        <v>406</v>
      </c>
      <c r="L753" s="131">
        <v>19812726</v>
      </c>
      <c r="M753" s="142" t="s">
        <v>173</v>
      </c>
      <c r="N753" s="131" t="s">
        <v>128</v>
      </c>
      <c r="O753" s="51" t="s">
        <v>227</v>
      </c>
      <c r="P753" s="300" t="str">
        <f>IFERROR(VLOOKUP(C753,TD!$B$33:$F$37,2,0)," ")</f>
        <v>O230117</v>
      </c>
      <c r="Q753" s="300" t="str">
        <f>IFERROR(VLOOKUP(C753,TD!$B$33:$F$37,3,0)," ")</f>
        <v>4503</v>
      </c>
      <c r="R753" s="300">
        <f>IFERROR(VLOOKUP(C753,TD!$B$33:$F$37,4,0)," ")</f>
        <v>20240255</v>
      </c>
      <c r="S753" s="302" t="s">
        <v>185</v>
      </c>
      <c r="T753" s="300" t="str">
        <f>IFERROR(VLOOKUP(S753,TD!$J$34:$K$44,2,0)," ")</f>
        <v>Infraestructura física, mantenimiento y dotación (Sedes construidas, mantenidas reforzadas)</v>
      </c>
      <c r="U753" s="296" t="str">
        <f>CONCATENATE(S753,"-",T753)</f>
        <v>08-Infraestructura física, mantenimiento y dotación (Sedes construidas, mantenidas reforzadas)</v>
      </c>
      <c r="V753" s="302" t="s">
        <v>236</v>
      </c>
      <c r="W753" s="248" t="str">
        <f>IFERROR(VLOOKUP(V753,TD!$N$34:$O$46,2,0)," ")</f>
        <v>Estaciones de bomberos adecuadas</v>
      </c>
      <c r="X753" s="296" t="str">
        <f>CONCATENATE(V753,"_",W753)</f>
        <v>014_Estaciones de bomberos adecuadas</v>
      </c>
      <c r="Y753" s="296" t="str">
        <f>CONCATENATE(U753," ",X753)</f>
        <v>08-Infraestructura física, mantenimiento y dotación (Sedes construidas, mantenidas reforzadas) 014_Estaciones de bomberos adecuadas</v>
      </c>
      <c r="Z753" s="300" t="str">
        <f>CONCATENATE(P753,Q753,R753,S753,V753)</f>
        <v>O23011745032024025508014</v>
      </c>
      <c r="AA753" s="300" t="str">
        <f>IFERROR(VLOOKUP(Y753,TD!$K$47:$L$65,2,0)," ")</f>
        <v>PM/0131/0108/45030140255</v>
      </c>
      <c r="AB753" s="131" t="s">
        <v>102</v>
      </c>
      <c r="AC753" s="301" t="s">
        <v>205</v>
      </c>
    </row>
    <row r="754" spans="2:29" ht="126" x14ac:dyDescent="0.35">
      <c r="B754" s="132">
        <v>20250837</v>
      </c>
      <c r="C754" s="133" t="s">
        <v>209</v>
      </c>
      <c r="D754" s="246" t="s">
        <v>166</v>
      </c>
      <c r="E754" s="51" t="s">
        <v>558</v>
      </c>
      <c r="F754" s="298" t="s">
        <v>1000</v>
      </c>
      <c r="G754" s="298" t="s">
        <v>137</v>
      </c>
      <c r="H754" s="134" t="s">
        <v>406</v>
      </c>
      <c r="I754" s="299" t="s">
        <v>406</v>
      </c>
      <c r="J754" s="299" t="s">
        <v>406</v>
      </c>
      <c r="K754" s="135" t="s">
        <v>406</v>
      </c>
      <c r="L754" s="131">
        <v>21730672</v>
      </c>
      <c r="M754" s="142" t="s">
        <v>173</v>
      </c>
      <c r="N754" s="131" t="s">
        <v>128</v>
      </c>
      <c r="O754" s="51" t="s">
        <v>227</v>
      </c>
      <c r="P754" s="300" t="str">
        <f>IFERROR(VLOOKUP(C754,TD!$B$33:$F$37,2,0)," ")</f>
        <v>O230117</v>
      </c>
      <c r="Q754" s="300" t="str">
        <f>IFERROR(VLOOKUP(C754,TD!$B$33:$F$37,3,0)," ")</f>
        <v>4503</v>
      </c>
      <c r="R754" s="300">
        <f>IFERROR(VLOOKUP(C754,TD!$B$33:$F$37,4,0)," ")</f>
        <v>20240255</v>
      </c>
      <c r="S754" s="302" t="s">
        <v>185</v>
      </c>
      <c r="T754" s="300" t="str">
        <f>IFERROR(VLOOKUP(S754,TD!$J$34:$K$44,2,0)," ")</f>
        <v>Infraestructura física, mantenimiento y dotación (Sedes construidas, mantenidas reforzadas)</v>
      </c>
      <c r="U754" s="296" t="str">
        <f>CONCATENATE(S754,"-",T754)</f>
        <v>08-Infraestructura física, mantenimiento y dotación (Sedes construidas, mantenidas reforzadas)</v>
      </c>
      <c r="V754" s="302" t="s">
        <v>236</v>
      </c>
      <c r="W754" s="248" t="str">
        <f>IFERROR(VLOOKUP(V754,TD!$N$34:$O$46,2,0)," ")</f>
        <v>Estaciones de bomberos adecuadas</v>
      </c>
      <c r="X754" s="296" t="str">
        <f>CONCATENATE(V754,"_",W754)</f>
        <v>014_Estaciones de bomberos adecuadas</v>
      </c>
      <c r="Y754" s="296" t="str">
        <f>CONCATENATE(U754," ",X754)</f>
        <v>08-Infraestructura física, mantenimiento y dotación (Sedes construidas, mantenidas reforzadas) 014_Estaciones de bomberos adecuadas</v>
      </c>
      <c r="Z754" s="300" t="str">
        <f>CONCATENATE(P754,Q754,R754,S754,V754)</f>
        <v>O23011745032024025508014</v>
      </c>
      <c r="AA754" s="300" t="str">
        <f>IFERROR(VLOOKUP(Y754,TD!$K$47:$L$65,2,0)," ")</f>
        <v>PM/0131/0108/45030140255</v>
      </c>
      <c r="AB754" s="131" t="s">
        <v>102</v>
      </c>
      <c r="AC754" s="301" t="s">
        <v>205</v>
      </c>
    </row>
    <row r="755" spans="2:29" ht="84" x14ac:dyDescent="0.35">
      <c r="B755" s="132">
        <v>20250838</v>
      </c>
      <c r="C755" s="50" t="s">
        <v>208</v>
      </c>
      <c r="D755" s="246" t="s">
        <v>166</v>
      </c>
      <c r="E755" s="51" t="s">
        <v>558</v>
      </c>
      <c r="F755" s="298" t="s">
        <v>1001</v>
      </c>
      <c r="G755" s="298" t="s">
        <v>137</v>
      </c>
      <c r="H755" s="134" t="s">
        <v>406</v>
      </c>
      <c r="I755" s="299" t="s">
        <v>406</v>
      </c>
      <c r="J755" s="299" t="s">
        <v>406</v>
      </c>
      <c r="K755" s="135" t="s">
        <v>406</v>
      </c>
      <c r="L755" s="131">
        <v>9295000</v>
      </c>
      <c r="M755" s="136" t="s">
        <v>173</v>
      </c>
      <c r="N755" s="53" t="s">
        <v>128</v>
      </c>
      <c r="O755" s="51" t="s">
        <v>218</v>
      </c>
      <c r="P755" s="300" t="str">
        <f>IFERROR(VLOOKUP(C755,TD!$B$33:$F$37,2,0)," ")</f>
        <v>O230117</v>
      </c>
      <c r="Q755" s="300" t="str">
        <f>IFERROR(VLOOKUP(C755,TD!$B$33:$F$37,3,0)," ")</f>
        <v>4599</v>
      </c>
      <c r="R755" s="300">
        <f>IFERROR(VLOOKUP(C755,TD!$B$33:$F$37,4,0)," ")</f>
        <v>20240207</v>
      </c>
      <c r="S755" s="302" t="s">
        <v>185</v>
      </c>
      <c r="T755" s="300" t="str">
        <f>IFERROR(VLOOKUP(S755,TD!$J$34:$K$44,2,0)," ")</f>
        <v>Infraestructura física, mantenimiento y dotación (Sedes construidas, mantenidas reforzadas)</v>
      </c>
      <c r="U755" s="296" t="str">
        <f>CONCATENATE(S755,"-",T755)</f>
        <v>08-Infraestructura física, mantenimiento y dotación (Sedes construidas, mantenidas reforzadas)</v>
      </c>
      <c r="V755" s="302" t="s">
        <v>238</v>
      </c>
      <c r="W755" s="248" t="str">
        <f>IFERROR(VLOOKUP(V755,TD!$N$34:$O$46,2,0)," ")</f>
        <v>Sedes mantenidas</v>
      </c>
      <c r="X755" s="296" t="str">
        <f>CONCATENATE(V755,"_",W755)</f>
        <v>016_Sedes mantenidas</v>
      </c>
      <c r="Y755" s="296" t="str">
        <f>CONCATENATE(U755," ",X755)</f>
        <v>08-Infraestructura física, mantenimiento y dotación (Sedes construidas, mantenidas reforzadas) 016_Sedes mantenidas</v>
      </c>
      <c r="Z755" s="300" t="str">
        <f>CONCATENATE(P755,Q755,R755,S755,V755)</f>
        <v>O23011745992024020708016</v>
      </c>
      <c r="AA755" s="300" t="str">
        <f>IFERROR(VLOOKUP(Y755,TD!$K$47:$L$65,2,0)," ")</f>
        <v>PM/0131/0108/45990160207</v>
      </c>
      <c r="AB755" s="131" t="s">
        <v>147</v>
      </c>
      <c r="AC755" s="301" t="s">
        <v>205</v>
      </c>
    </row>
    <row r="756" spans="2:29" ht="70" x14ac:dyDescent="0.35">
      <c r="B756" s="132">
        <v>20250839</v>
      </c>
      <c r="C756" s="50" t="s">
        <v>208</v>
      </c>
      <c r="D756" s="246" t="s">
        <v>166</v>
      </c>
      <c r="E756" s="51" t="s">
        <v>558</v>
      </c>
      <c r="F756" s="298" t="s">
        <v>1002</v>
      </c>
      <c r="G756" s="298" t="s">
        <v>137</v>
      </c>
      <c r="H756" s="134" t="s">
        <v>406</v>
      </c>
      <c r="I756" s="299" t="s">
        <v>406</v>
      </c>
      <c r="J756" s="299" t="s">
        <v>406</v>
      </c>
      <c r="K756" s="135" t="s">
        <v>406</v>
      </c>
      <c r="L756" s="131">
        <v>735000</v>
      </c>
      <c r="M756" s="136" t="s">
        <v>173</v>
      </c>
      <c r="N756" s="53" t="s">
        <v>128</v>
      </c>
      <c r="O756" s="51" t="s">
        <v>218</v>
      </c>
      <c r="P756" s="300" t="str">
        <f>IFERROR(VLOOKUP(C756,TD!$B$33:$F$37,2,0)," ")</f>
        <v>O230117</v>
      </c>
      <c r="Q756" s="300" t="str">
        <f>IFERROR(VLOOKUP(C756,TD!$B$33:$F$37,3,0)," ")</f>
        <v>4599</v>
      </c>
      <c r="R756" s="300">
        <f>IFERROR(VLOOKUP(C756,TD!$B$33:$F$37,4,0)," ")</f>
        <v>20240207</v>
      </c>
      <c r="S756" s="302" t="s">
        <v>185</v>
      </c>
      <c r="T756" s="300" t="str">
        <f>IFERROR(VLOOKUP(S756,TD!$J$34:$K$44,2,0)," ")</f>
        <v>Infraestructura física, mantenimiento y dotación (Sedes construidas, mantenidas reforzadas)</v>
      </c>
      <c r="U756" s="296" t="str">
        <f>CONCATENATE(S756,"-",T756)</f>
        <v>08-Infraestructura física, mantenimiento y dotación (Sedes construidas, mantenidas reforzadas)</v>
      </c>
      <c r="V756" s="302" t="s">
        <v>238</v>
      </c>
      <c r="W756" s="248" t="str">
        <f>IFERROR(VLOOKUP(V756,TD!$N$34:$O$46,2,0)," ")</f>
        <v>Sedes mantenidas</v>
      </c>
      <c r="X756" s="296" t="str">
        <f>CONCATENATE(V756,"_",W756)</f>
        <v>016_Sedes mantenidas</v>
      </c>
      <c r="Y756" s="296" t="str">
        <f>CONCATENATE(U756," ",X756)</f>
        <v>08-Infraestructura física, mantenimiento y dotación (Sedes construidas, mantenidas reforzadas) 016_Sedes mantenidas</v>
      </c>
      <c r="Z756" s="300" t="str">
        <f>CONCATENATE(P756,Q756,R756,S756,V756)</f>
        <v>O23011745992024020708016</v>
      </c>
      <c r="AA756" s="300" t="str">
        <f>IFERROR(VLOOKUP(Y756,TD!$K$47:$L$65,2,0)," ")</f>
        <v>PM/0131/0108/45990160207</v>
      </c>
      <c r="AB756" s="131" t="s">
        <v>138</v>
      </c>
      <c r="AC756" s="301" t="s">
        <v>205</v>
      </c>
    </row>
    <row r="757" spans="2:29" ht="112" x14ac:dyDescent="0.35">
      <c r="B757" s="132">
        <v>20250840</v>
      </c>
      <c r="C757" s="50" t="s">
        <v>208</v>
      </c>
      <c r="D757" s="246" t="s">
        <v>166</v>
      </c>
      <c r="E757" s="51" t="s">
        <v>558</v>
      </c>
      <c r="F757" s="298" t="s">
        <v>1003</v>
      </c>
      <c r="G757" s="298" t="s">
        <v>137</v>
      </c>
      <c r="H757" s="134" t="s">
        <v>406</v>
      </c>
      <c r="I757" s="299" t="s">
        <v>406</v>
      </c>
      <c r="J757" s="299" t="s">
        <v>406</v>
      </c>
      <c r="K757" s="135" t="s">
        <v>406</v>
      </c>
      <c r="L757" s="131">
        <v>1306667</v>
      </c>
      <c r="M757" s="136" t="s">
        <v>173</v>
      </c>
      <c r="N757" s="53" t="s">
        <v>128</v>
      </c>
      <c r="O757" s="51" t="s">
        <v>218</v>
      </c>
      <c r="P757" s="300" t="str">
        <f>IFERROR(VLOOKUP(C757,TD!$B$33:$F$37,2,0)," ")</f>
        <v>O230117</v>
      </c>
      <c r="Q757" s="300" t="str">
        <f>IFERROR(VLOOKUP(C757,TD!$B$33:$F$37,3,0)," ")</f>
        <v>4599</v>
      </c>
      <c r="R757" s="300">
        <f>IFERROR(VLOOKUP(C757,TD!$B$33:$F$37,4,0)," ")</f>
        <v>20240207</v>
      </c>
      <c r="S757" s="302" t="s">
        <v>185</v>
      </c>
      <c r="T757" s="300" t="str">
        <f>IFERROR(VLOOKUP(S757,TD!$J$34:$K$44,2,0)," ")</f>
        <v>Infraestructura física, mantenimiento y dotación (Sedes construidas, mantenidas reforzadas)</v>
      </c>
      <c r="U757" s="296" t="str">
        <f>CONCATENATE(S757,"-",T757)</f>
        <v>08-Infraestructura física, mantenimiento y dotación (Sedes construidas, mantenidas reforzadas)</v>
      </c>
      <c r="V757" s="302" t="s">
        <v>238</v>
      </c>
      <c r="W757" s="248" t="str">
        <f>IFERROR(VLOOKUP(V757,TD!$N$34:$O$46,2,0)," ")</f>
        <v>Sedes mantenidas</v>
      </c>
      <c r="X757" s="296" t="str">
        <f>CONCATENATE(V757,"_",W757)</f>
        <v>016_Sedes mantenidas</v>
      </c>
      <c r="Y757" s="296" t="str">
        <f>CONCATENATE(U757," ",X757)</f>
        <v>08-Infraestructura física, mantenimiento y dotación (Sedes construidas, mantenidas reforzadas) 016_Sedes mantenidas</v>
      </c>
      <c r="Z757" s="300" t="str">
        <f>CONCATENATE(P757,Q757,R757,S757,V757)</f>
        <v>O23011745992024020708016</v>
      </c>
      <c r="AA757" s="300" t="str">
        <f>IFERROR(VLOOKUP(Y757,TD!$K$47:$L$65,2,0)," ")</f>
        <v>PM/0131/0108/45990160207</v>
      </c>
      <c r="AB757" s="131" t="s">
        <v>138</v>
      </c>
      <c r="AC757" s="301" t="s">
        <v>205</v>
      </c>
    </row>
    <row r="758" spans="2:29" ht="56" x14ac:dyDescent="0.35">
      <c r="B758" s="132">
        <v>20250841</v>
      </c>
      <c r="C758" s="50" t="s">
        <v>208</v>
      </c>
      <c r="D758" s="246" t="s">
        <v>166</v>
      </c>
      <c r="E758" s="51" t="s">
        <v>558</v>
      </c>
      <c r="F758" s="298" t="s">
        <v>1004</v>
      </c>
      <c r="G758" s="298" t="s">
        <v>137</v>
      </c>
      <c r="H758" s="134" t="s">
        <v>406</v>
      </c>
      <c r="I758" s="299" t="s">
        <v>406</v>
      </c>
      <c r="J758" s="299" t="s">
        <v>406</v>
      </c>
      <c r="K758" s="135" t="s">
        <v>406</v>
      </c>
      <c r="L758" s="131">
        <v>1460000</v>
      </c>
      <c r="M758" s="136" t="s">
        <v>173</v>
      </c>
      <c r="N758" s="53" t="s">
        <v>128</v>
      </c>
      <c r="O758" s="51" t="s">
        <v>218</v>
      </c>
      <c r="P758" s="300" t="str">
        <f>IFERROR(VLOOKUP(C758,TD!$B$33:$F$37,2,0)," ")</f>
        <v>O230117</v>
      </c>
      <c r="Q758" s="300" t="str">
        <f>IFERROR(VLOOKUP(C758,TD!$B$33:$F$37,3,0)," ")</f>
        <v>4599</v>
      </c>
      <c r="R758" s="300">
        <f>IFERROR(VLOOKUP(C758,TD!$B$33:$F$37,4,0)," ")</f>
        <v>20240207</v>
      </c>
      <c r="S758" s="302" t="s">
        <v>185</v>
      </c>
      <c r="T758" s="300" t="str">
        <f>IFERROR(VLOOKUP(S758,TD!$J$34:$K$44,2,0)," ")</f>
        <v>Infraestructura física, mantenimiento y dotación (Sedes construidas, mantenidas reforzadas)</v>
      </c>
      <c r="U758" s="296" t="str">
        <f>CONCATENATE(S758,"-",T758)</f>
        <v>08-Infraestructura física, mantenimiento y dotación (Sedes construidas, mantenidas reforzadas)</v>
      </c>
      <c r="V758" s="302" t="s">
        <v>238</v>
      </c>
      <c r="W758" s="248" t="str">
        <f>IFERROR(VLOOKUP(V758,TD!$N$34:$O$46,2,0)," ")</f>
        <v>Sedes mantenidas</v>
      </c>
      <c r="X758" s="296" t="str">
        <f>CONCATENATE(V758,"_",W758)</f>
        <v>016_Sedes mantenidas</v>
      </c>
      <c r="Y758" s="296" t="str">
        <f>CONCATENATE(U758," ",X758)</f>
        <v>08-Infraestructura física, mantenimiento y dotación (Sedes construidas, mantenidas reforzadas) 016_Sedes mantenidas</v>
      </c>
      <c r="Z758" s="300" t="str">
        <f>CONCATENATE(P758,Q758,R758,S758,V758)</f>
        <v>O23011745992024020708016</v>
      </c>
      <c r="AA758" s="300" t="str">
        <f>IFERROR(VLOOKUP(Y758,TD!$K$47:$L$65,2,0)," ")</f>
        <v>PM/0131/0108/45990160207</v>
      </c>
      <c r="AB758" s="131" t="s">
        <v>138</v>
      </c>
      <c r="AC758" s="301" t="s">
        <v>205</v>
      </c>
    </row>
    <row r="759" spans="2:29" ht="56" x14ac:dyDescent="0.35">
      <c r="B759" s="132">
        <v>20250842</v>
      </c>
      <c r="C759" s="50" t="s">
        <v>208</v>
      </c>
      <c r="D759" s="246" t="s">
        <v>166</v>
      </c>
      <c r="E759" s="51" t="s">
        <v>558</v>
      </c>
      <c r="F759" s="298" t="s">
        <v>1005</v>
      </c>
      <c r="G759" s="298" t="s">
        <v>137</v>
      </c>
      <c r="H759" s="134" t="s">
        <v>406</v>
      </c>
      <c r="I759" s="299" t="s">
        <v>406</v>
      </c>
      <c r="J759" s="299" t="s">
        <v>406</v>
      </c>
      <c r="K759" s="135" t="s">
        <v>406</v>
      </c>
      <c r="L759" s="131">
        <v>2041667</v>
      </c>
      <c r="M759" s="136" t="s">
        <v>173</v>
      </c>
      <c r="N759" s="53" t="s">
        <v>128</v>
      </c>
      <c r="O759" s="51" t="s">
        <v>218</v>
      </c>
      <c r="P759" s="300" t="str">
        <f>IFERROR(VLOOKUP(C759,TD!$B$33:$F$37,2,0)," ")</f>
        <v>O230117</v>
      </c>
      <c r="Q759" s="300" t="str">
        <f>IFERROR(VLOOKUP(C759,TD!$B$33:$F$37,3,0)," ")</f>
        <v>4599</v>
      </c>
      <c r="R759" s="300">
        <f>IFERROR(VLOOKUP(C759,TD!$B$33:$F$37,4,0)," ")</f>
        <v>20240207</v>
      </c>
      <c r="S759" s="302" t="s">
        <v>185</v>
      </c>
      <c r="T759" s="300" t="str">
        <f>IFERROR(VLOOKUP(S759,TD!$J$34:$K$44,2,0)," ")</f>
        <v>Infraestructura física, mantenimiento y dotación (Sedes construidas, mantenidas reforzadas)</v>
      </c>
      <c r="U759" s="296" t="str">
        <f>CONCATENATE(S759,"-",T759)</f>
        <v>08-Infraestructura física, mantenimiento y dotación (Sedes construidas, mantenidas reforzadas)</v>
      </c>
      <c r="V759" s="302" t="s">
        <v>238</v>
      </c>
      <c r="W759" s="248" t="str">
        <f>IFERROR(VLOOKUP(V759,TD!$N$34:$O$46,2,0)," ")</f>
        <v>Sedes mantenidas</v>
      </c>
      <c r="X759" s="296" t="str">
        <f>CONCATENATE(V759,"_",W759)</f>
        <v>016_Sedes mantenidas</v>
      </c>
      <c r="Y759" s="296" t="str">
        <f>CONCATENATE(U759," ",X759)</f>
        <v>08-Infraestructura física, mantenimiento y dotación (Sedes construidas, mantenidas reforzadas) 016_Sedes mantenidas</v>
      </c>
      <c r="Z759" s="300" t="str">
        <f>CONCATENATE(P759,Q759,R759,S759,V759)</f>
        <v>O23011745992024020708016</v>
      </c>
      <c r="AA759" s="300" t="str">
        <f>IFERROR(VLOOKUP(Y759,TD!$K$47:$L$65,2,0)," ")</f>
        <v>PM/0131/0108/45990160207</v>
      </c>
      <c r="AB759" s="131" t="s">
        <v>138</v>
      </c>
      <c r="AC759" s="301" t="s">
        <v>205</v>
      </c>
    </row>
    <row r="760" spans="2:29" ht="98" x14ac:dyDescent="0.35">
      <c r="B760" s="132">
        <v>20250843</v>
      </c>
      <c r="C760" s="50" t="s">
        <v>208</v>
      </c>
      <c r="D760" s="246" t="s">
        <v>166</v>
      </c>
      <c r="E760" s="51" t="s">
        <v>558</v>
      </c>
      <c r="F760" s="298" t="s">
        <v>1006</v>
      </c>
      <c r="G760" s="298" t="s">
        <v>137</v>
      </c>
      <c r="H760" s="134" t="s">
        <v>406</v>
      </c>
      <c r="I760" s="299" t="s">
        <v>406</v>
      </c>
      <c r="J760" s="299" t="s">
        <v>406</v>
      </c>
      <c r="K760" s="135" t="s">
        <v>406</v>
      </c>
      <c r="L760" s="131">
        <v>4583333</v>
      </c>
      <c r="M760" s="136" t="s">
        <v>173</v>
      </c>
      <c r="N760" s="53" t="s">
        <v>128</v>
      </c>
      <c r="O760" s="51" t="s">
        <v>219</v>
      </c>
      <c r="P760" s="300" t="str">
        <f>IFERROR(VLOOKUP(C760,TD!$B$33:$F$37,2,0)," ")</f>
        <v>O230117</v>
      </c>
      <c r="Q760" s="300" t="str">
        <f>IFERROR(VLOOKUP(C760,TD!$B$33:$F$37,3,0)," ")</f>
        <v>4599</v>
      </c>
      <c r="R760" s="300">
        <f>IFERROR(VLOOKUP(C760,TD!$B$33:$F$37,4,0)," ")</f>
        <v>20240207</v>
      </c>
      <c r="S760" s="302" t="s">
        <v>185</v>
      </c>
      <c r="T760" s="300" t="str">
        <f>IFERROR(VLOOKUP(S760,TD!$J$34:$K$44,2,0)," ")</f>
        <v>Infraestructura física, mantenimiento y dotación (Sedes construidas, mantenidas reforzadas)</v>
      </c>
      <c r="U760" s="296" t="str">
        <f>CONCATENATE(S760,"-",T760)</f>
        <v>08-Infraestructura física, mantenimiento y dotación (Sedes construidas, mantenidas reforzadas)</v>
      </c>
      <c r="V760" s="302" t="s">
        <v>238</v>
      </c>
      <c r="W760" s="248" t="str">
        <f>IFERROR(VLOOKUP(V760,TD!$N$34:$O$46,2,0)," ")</f>
        <v>Sedes mantenidas</v>
      </c>
      <c r="X760" s="296" t="str">
        <f>CONCATENATE(V760,"_",W760)</f>
        <v>016_Sedes mantenidas</v>
      </c>
      <c r="Y760" s="296" t="str">
        <f>CONCATENATE(U760," ",X760)</f>
        <v>08-Infraestructura física, mantenimiento y dotación (Sedes construidas, mantenidas reforzadas) 016_Sedes mantenidas</v>
      </c>
      <c r="Z760" s="300" t="str">
        <f>CONCATENATE(P760,Q760,R760,S760,V760)</f>
        <v>O23011745992024020708016</v>
      </c>
      <c r="AA760" s="300" t="str">
        <f>IFERROR(VLOOKUP(Y760,TD!$K$47:$L$65,2,0)," ")</f>
        <v>PM/0131/0108/45990160207</v>
      </c>
      <c r="AB760" s="131" t="s">
        <v>138</v>
      </c>
      <c r="AC760" s="301" t="s">
        <v>205</v>
      </c>
    </row>
    <row r="761" spans="2:29" ht="98" x14ac:dyDescent="0.35">
      <c r="B761" s="132">
        <v>20250845</v>
      </c>
      <c r="C761" s="50" t="s">
        <v>208</v>
      </c>
      <c r="D761" s="246" t="s">
        <v>36</v>
      </c>
      <c r="E761" s="51" t="s">
        <v>378</v>
      </c>
      <c r="F761" s="298" t="s">
        <v>1007</v>
      </c>
      <c r="G761" s="298" t="s">
        <v>156</v>
      </c>
      <c r="H761" s="134">
        <v>80111600</v>
      </c>
      <c r="I761" s="299">
        <v>10</v>
      </c>
      <c r="J761" s="299">
        <v>3</v>
      </c>
      <c r="K761" s="135">
        <v>0</v>
      </c>
      <c r="L761" s="131">
        <v>13472448</v>
      </c>
      <c r="M761" s="136" t="s">
        <v>464</v>
      </c>
      <c r="N761" s="53" t="s">
        <v>113</v>
      </c>
      <c r="O761" s="51" t="s">
        <v>211</v>
      </c>
      <c r="P761" s="300" t="str">
        <f>IFERROR(VLOOKUP(C761,TD!$B$33:$F$37,2,0)," ")</f>
        <v>O230117</v>
      </c>
      <c r="Q761" s="300" t="str">
        <f>IFERROR(VLOOKUP(C761,TD!$B$33:$F$37,3,0)," ")</f>
        <v>4599</v>
      </c>
      <c r="R761" s="300">
        <f>IFERROR(VLOOKUP(C761,TD!$B$33:$F$37,4,0)," ")</f>
        <v>20240207</v>
      </c>
      <c r="S761" s="302" t="s">
        <v>193</v>
      </c>
      <c r="T761" s="300" t="str">
        <f>IFERROR(VLOOKUP(S761,TD!$J$34:$K$44,2,0)," ")</f>
        <v>Servicios para la planeación y sistemas de gestión y comunicación estratégica</v>
      </c>
      <c r="U761" s="296" t="str">
        <f>CONCATENATE(S761,"-",T761)</f>
        <v>13-Servicios para la planeación y sistemas de gestión y comunicación estratégica</v>
      </c>
      <c r="V761" s="302" t="s">
        <v>240</v>
      </c>
      <c r="W761" s="248" t="str">
        <f>IFERROR(VLOOKUP(V761,TD!$N$34:$O$46,2,0)," ")</f>
        <v>Servicio de asistencia técnica</v>
      </c>
      <c r="X761" s="296" t="str">
        <f>CONCATENATE(V761,"_",W761)</f>
        <v>031_Servicio de asistencia técnica</v>
      </c>
      <c r="Y761" s="296" t="str">
        <f>CONCATENATE(U761," ",X761)</f>
        <v>13-Servicios para la planeación y sistemas de gestión y comunicación estratégica 031_Servicio de asistencia técnica</v>
      </c>
      <c r="Z761" s="300" t="str">
        <f>CONCATENATE(P761,Q761,R761,S761,V761)</f>
        <v>O23011745992024020713031</v>
      </c>
      <c r="AA761" s="300" t="str">
        <f>IFERROR(VLOOKUP(Y761,TD!$K$47:$L$65,2,0)," ")</f>
        <v>PM/0131/0113/45990310207</v>
      </c>
      <c r="AB761" s="131" t="s">
        <v>138</v>
      </c>
      <c r="AC761" s="301" t="s">
        <v>205</v>
      </c>
    </row>
    <row r="762" spans="2:29" ht="98" x14ac:dyDescent="0.35">
      <c r="B762" s="132">
        <v>20250846</v>
      </c>
      <c r="C762" s="50" t="s">
        <v>208</v>
      </c>
      <c r="D762" s="246" t="s">
        <v>36</v>
      </c>
      <c r="E762" s="51" t="s">
        <v>378</v>
      </c>
      <c r="F762" s="298" t="s">
        <v>1008</v>
      </c>
      <c r="G762" s="298" t="s">
        <v>155</v>
      </c>
      <c r="H762" s="134">
        <v>80111600</v>
      </c>
      <c r="I762" s="299">
        <v>9</v>
      </c>
      <c r="J762" s="299">
        <v>4</v>
      </c>
      <c r="K762" s="135">
        <v>0</v>
      </c>
      <c r="L762" s="131">
        <v>28000000</v>
      </c>
      <c r="M762" s="136" t="s">
        <v>464</v>
      </c>
      <c r="N762" s="53" t="s">
        <v>113</v>
      </c>
      <c r="O762" s="51" t="s">
        <v>213</v>
      </c>
      <c r="P762" s="300" t="str">
        <f>IFERROR(VLOOKUP(C762,TD!$B$33:$F$37,2,0)," ")</f>
        <v>O230117</v>
      </c>
      <c r="Q762" s="300" t="str">
        <f>IFERROR(VLOOKUP(C762,TD!$B$33:$F$37,3,0)," ")</f>
        <v>4599</v>
      </c>
      <c r="R762" s="300">
        <f>IFERROR(VLOOKUP(C762,TD!$B$33:$F$37,4,0)," ")</f>
        <v>20240207</v>
      </c>
      <c r="S762" s="302" t="s">
        <v>193</v>
      </c>
      <c r="T762" s="300" t="str">
        <f>IFERROR(VLOOKUP(S762,TD!$J$34:$K$44,2,0)," ")</f>
        <v>Servicios para la planeación y sistemas de gestión y comunicación estratégica</v>
      </c>
      <c r="U762" s="296" t="str">
        <f>CONCATENATE(S762,"-",T762)</f>
        <v>13-Servicios para la planeación y sistemas de gestión y comunicación estratégica</v>
      </c>
      <c r="V762" s="302" t="s">
        <v>240</v>
      </c>
      <c r="W762" s="248" t="str">
        <f>IFERROR(VLOOKUP(V762,TD!$N$34:$O$46,2,0)," ")</f>
        <v>Servicio de asistencia técnica</v>
      </c>
      <c r="X762" s="296" t="str">
        <f>CONCATENATE(V762,"_",W762)</f>
        <v>031_Servicio de asistencia técnica</v>
      </c>
      <c r="Y762" s="296" t="str">
        <f>CONCATENATE(U762," ",X762)</f>
        <v>13-Servicios para la planeación y sistemas de gestión y comunicación estratégica 031_Servicio de asistencia técnica</v>
      </c>
      <c r="Z762" s="300" t="str">
        <f>CONCATENATE(P762,Q762,R762,S762,V762)</f>
        <v>O23011745992024020713031</v>
      </c>
      <c r="AA762" s="300" t="str">
        <f>IFERROR(VLOOKUP(Y762,TD!$K$47:$L$65,2,0)," ")</f>
        <v>PM/0131/0113/45990310207</v>
      </c>
      <c r="AB762" s="131" t="s">
        <v>138</v>
      </c>
      <c r="AC762" s="301" t="s">
        <v>204</v>
      </c>
    </row>
    <row r="763" spans="2:29" ht="56" x14ac:dyDescent="0.35">
      <c r="B763" s="132">
        <v>20250847</v>
      </c>
      <c r="C763" s="133" t="s">
        <v>208</v>
      </c>
      <c r="D763" s="298" t="s">
        <v>36</v>
      </c>
      <c r="E763" s="302" t="s">
        <v>378</v>
      </c>
      <c r="F763" s="298" t="s">
        <v>1047</v>
      </c>
      <c r="G763" s="298" t="s">
        <v>155</v>
      </c>
      <c r="H763" s="134">
        <v>80111600</v>
      </c>
      <c r="I763" s="299">
        <v>9</v>
      </c>
      <c r="J763" s="299">
        <v>3</v>
      </c>
      <c r="K763" s="135">
        <v>0</v>
      </c>
      <c r="L763" s="131">
        <v>21900000</v>
      </c>
      <c r="M763" s="136" t="s">
        <v>464</v>
      </c>
      <c r="N763" s="53" t="s">
        <v>113</v>
      </c>
      <c r="O763" s="51" t="s">
        <v>211</v>
      </c>
      <c r="P763" s="300" t="str">
        <f>IFERROR(VLOOKUP(C763,TD!$B$33:$F$37,2,0)," ")</f>
        <v>O230117</v>
      </c>
      <c r="Q763" s="300" t="str">
        <f>IFERROR(VLOOKUP(C763,TD!$B$33:$F$37,3,0)," ")</f>
        <v>4599</v>
      </c>
      <c r="R763" s="300">
        <f>IFERROR(VLOOKUP(C763,TD!$B$33:$F$37,4,0)," ")</f>
        <v>20240207</v>
      </c>
      <c r="S763" s="302" t="s">
        <v>193</v>
      </c>
      <c r="T763" s="300" t="str">
        <f>IFERROR(VLOOKUP(S763,TD!$J$34:$K$44,2,0)," ")</f>
        <v>Servicios para la planeación y sistemas de gestión y comunicación estratégica</v>
      </c>
      <c r="U763" s="296" t="str">
        <f>CONCATENATE(S763,"-",T763)</f>
        <v>13-Servicios para la planeación y sistemas de gestión y comunicación estratégica</v>
      </c>
      <c r="V763" s="302" t="s">
        <v>240</v>
      </c>
      <c r="W763" s="248" t="str">
        <f>IFERROR(VLOOKUP(V763,TD!$N$34:$O$46,2,0)," ")</f>
        <v>Servicio de asistencia técnica</v>
      </c>
      <c r="X763" s="296" t="str">
        <f>CONCATENATE(V763,"_",W763)</f>
        <v>031_Servicio de asistencia técnica</v>
      </c>
      <c r="Y763" s="296" t="str">
        <f>CONCATENATE(U763," ",X763)</f>
        <v>13-Servicios para la planeación y sistemas de gestión y comunicación estratégica 031_Servicio de asistencia técnica</v>
      </c>
      <c r="Z763" s="300" t="str">
        <f>CONCATENATE(P763,Q763,R763,S763,V763)</f>
        <v>O23011745992024020713031</v>
      </c>
      <c r="AA763" s="300" t="str">
        <f>IFERROR(VLOOKUP(Y763,TD!$K$47:$L$65,2,0)," ")</f>
        <v>PM/0131/0113/45990310207</v>
      </c>
      <c r="AB763" s="53" t="s">
        <v>138</v>
      </c>
      <c r="AC763" s="301" t="s">
        <v>205</v>
      </c>
    </row>
    <row r="764" spans="2:29" ht="84" x14ac:dyDescent="0.35">
      <c r="B764" s="77">
        <v>20250848</v>
      </c>
      <c r="C764" s="50" t="s">
        <v>208</v>
      </c>
      <c r="D764" s="246" t="s">
        <v>36</v>
      </c>
      <c r="E764" s="51" t="s">
        <v>378</v>
      </c>
      <c r="F764" s="246" t="s">
        <v>1009</v>
      </c>
      <c r="G764" s="246" t="s">
        <v>155</v>
      </c>
      <c r="H764" s="93">
        <v>80111600</v>
      </c>
      <c r="I764" s="247">
        <v>9</v>
      </c>
      <c r="J764" s="247">
        <v>4</v>
      </c>
      <c r="K764" s="52">
        <v>0</v>
      </c>
      <c r="L764" s="53">
        <v>30000000</v>
      </c>
      <c r="M764" s="136" t="s">
        <v>464</v>
      </c>
      <c r="N764" s="53" t="s">
        <v>113</v>
      </c>
      <c r="O764" s="51" t="s">
        <v>213</v>
      </c>
      <c r="P764" s="248" t="str">
        <f>IFERROR(VLOOKUP(C764,TD!$B$33:$F$37,2,0)," ")</f>
        <v>O230117</v>
      </c>
      <c r="Q764" s="248" t="str">
        <f>IFERROR(VLOOKUP(C764,TD!$B$33:$F$37,3,0)," ")</f>
        <v>4599</v>
      </c>
      <c r="R764" s="248">
        <f>IFERROR(VLOOKUP(C764,TD!$B$33:$F$37,4,0)," ")</f>
        <v>20240207</v>
      </c>
      <c r="S764" s="51" t="s">
        <v>193</v>
      </c>
      <c r="T764" s="300" t="str">
        <f>IFERROR(VLOOKUP(S764,TD!$J$34:$K$44,2,0)," ")</f>
        <v>Servicios para la planeación y sistemas de gestión y comunicación estratégica</v>
      </c>
      <c r="U764" s="249" t="str">
        <f>CONCATENATE(S764,"-",T764)</f>
        <v>13-Servicios para la planeación y sistemas de gestión y comunicación estratégica</v>
      </c>
      <c r="V764" s="302" t="s">
        <v>240</v>
      </c>
      <c r="W764" s="248" t="str">
        <f>IFERROR(VLOOKUP(V764,TD!$N$34:$O$46,2,0)," ")</f>
        <v>Servicio de asistencia técnica</v>
      </c>
      <c r="X764" s="249" t="str">
        <f>CONCATENATE(V764,"_",W764)</f>
        <v>031_Servicio de asistencia técnica</v>
      </c>
      <c r="Y764" s="249" t="str">
        <f>CONCATENATE(U764," ",X764)</f>
        <v>13-Servicios para la planeación y sistemas de gestión y comunicación estratégica 031_Servicio de asistencia técnica</v>
      </c>
      <c r="Z764" s="248" t="str">
        <f>CONCATENATE(P764,Q764,R764,S764,V764)</f>
        <v>O23011745992024020713031</v>
      </c>
      <c r="AA764" s="248" t="str">
        <f>IFERROR(VLOOKUP(Y764,TD!$K$47:$L$65,2,0)," ")</f>
        <v>PM/0131/0113/45990310207</v>
      </c>
      <c r="AB764" s="53" t="s">
        <v>138</v>
      </c>
      <c r="AC764" s="250" t="s">
        <v>204</v>
      </c>
    </row>
    <row r="765" spans="2:29" ht="42" x14ac:dyDescent="0.35">
      <c r="B765" s="132">
        <v>20250849</v>
      </c>
      <c r="C765" s="50" t="s">
        <v>208</v>
      </c>
      <c r="D765" s="246" t="s">
        <v>36</v>
      </c>
      <c r="E765" s="51" t="s">
        <v>378</v>
      </c>
      <c r="F765" s="298" t="s">
        <v>1010</v>
      </c>
      <c r="G765" s="298" t="s">
        <v>156</v>
      </c>
      <c r="H765" s="134">
        <v>80111600</v>
      </c>
      <c r="I765" s="299">
        <v>9</v>
      </c>
      <c r="J765" s="299">
        <v>4</v>
      </c>
      <c r="K765" s="135">
        <v>0</v>
      </c>
      <c r="L765" s="131">
        <v>16000000</v>
      </c>
      <c r="M765" s="136" t="s">
        <v>464</v>
      </c>
      <c r="N765" s="131" t="s">
        <v>113</v>
      </c>
      <c r="O765" s="51" t="s">
        <v>213</v>
      </c>
      <c r="P765" s="300" t="str">
        <f>IFERROR(VLOOKUP(C765,TD!$B$33:$F$37,2,0)," ")</f>
        <v>O230117</v>
      </c>
      <c r="Q765" s="300" t="str">
        <f>IFERROR(VLOOKUP(C765,TD!$B$33:$F$37,3,0)," ")</f>
        <v>4599</v>
      </c>
      <c r="R765" s="300">
        <f>IFERROR(VLOOKUP(C765,TD!$B$33:$F$37,4,0)," ")</f>
        <v>20240207</v>
      </c>
      <c r="S765" s="51" t="s">
        <v>193</v>
      </c>
      <c r="T765" s="300" t="str">
        <f>IFERROR(VLOOKUP(S765,TD!$J$34:$K$44,2,0)," ")</f>
        <v>Servicios para la planeación y sistemas de gestión y comunicación estratégica</v>
      </c>
      <c r="U765" s="296" t="str">
        <f>CONCATENATE(S765,"-",T765)</f>
        <v>13-Servicios para la planeación y sistemas de gestión y comunicación estratégica</v>
      </c>
      <c r="V765" s="302" t="s">
        <v>240</v>
      </c>
      <c r="W765" s="248" t="str">
        <f>IFERROR(VLOOKUP(V765,TD!$N$34:$O$46,2,0)," ")</f>
        <v>Servicio de asistencia técnica</v>
      </c>
      <c r="X765" s="296" t="str">
        <f>CONCATENATE(V765,"_",W765)</f>
        <v>031_Servicio de asistencia técnica</v>
      </c>
      <c r="Y765" s="296" t="str">
        <f>CONCATENATE(U765," ",X765)</f>
        <v>13-Servicios para la planeación y sistemas de gestión y comunicación estratégica 031_Servicio de asistencia técnica</v>
      </c>
      <c r="Z765" s="300" t="str">
        <f>CONCATENATE(P765,Q765,R765,S765,V765)</f>
        <v>O23011745992024020713031</v>
      </c>
      <c r="AA765" s="300" t="str">
        <f>IFERROR(VLOOKUP(Y765,TD!$K$47:$L$65,2,0)," ")</f>
        <v>PM/0131/0113/45990310207</v>
      </c>
      <c r="AB765" s="131" t="s">
        <v>138</v>
      </c>
      <c r="AC765" s="301" t="s">
        <v>204</v>
      </c>
    </row>
    <row r="766" spans="2:29" ht="42" x14ac:dyDescent="0.35">
      <c r="B766" s="132">
        <v>20250850</v>
      </c>
      <c r="C766" s="50" t="s">
        <v>208</v>
      </c>
      <c r="D766" s="246" t="s">
        <v>36</v>
      </c>
      <c r="E766" s="51" t="s">
        <v>378</v>
      </c>
      <c r="F766" s="298" t="s">
        <v>1011</v>
      </c>
      <c r="G766" s="298" t="s">
        <v>155</v>
      </c>
      <c r="H766" s="134">
        <v>80111600</v>
      </c>
      <c r="I766" s="299">
        <v>9</v>
      </c>
      <c r="J766" s="299">
        <v>3</v>
      </c>
      <c r="K766" s="135">
        <v>0</v>
      </c>
      <c r="L766" s="131">
        <v>25500000</v>
      </c>
      <c r="M766" s="136" t="s">
        <v>464</v>
      </c>
      <c r="N766" s="131" t="s">
        <v>113</v>
      </c>
      <c r="O766" s="51" t="s">
        <v>211</v>
      </c>
      <c r="P766" s="300" t="str">
        <f>IFERROR(VLOOKUP(C766,TD!$B$33:$F$37,2,0)," ")</f>
        <v>O230117</v>
      </c>
      <c r="Q766" s="300" t="str">
        <f>IFERROR(VLOOKUP(C766,TD!$B$33:$F$37,3,0)," ")</f>
        <v>4599</v>
      </c>
      <c r="R766" s="300">
        <f>IFERROR(VLOOKUP(C766,TD!$B$33:$F$37,4,0)," ")</f>
        <v>20240207</v>
      </c>
      <c r="S766" s="51" t="s">
        <v>193</v>
      </c>
      <c r="T766" s="300" t="str">
        <f>IFERROR(VLOOKUP(S766,TD!$J$34:$K$44,2,0)," ")</f>
        <v>Servicios para la planeación y sistemas de gestión y comunicación estratégica</v>
      </c>
      <c r="U766" s="296" t="str">
        <f>CONCATENATE(S766,"-",T766)</f>
        <v>13-Servicios para la planeación y sistemas de gestión y comunicación estratégica</v>
      </c>
      <c r="V766" s="302" t="s">
        <v>241</v>
      </c>
      <c r="W766" s="248" t="str">
        <f>IFERROR(VLOOKUP(V766,TD!$N$34:$O$46,2,0)," ")</f>
        <v>Servicio de Implementación Sistemas de Gestión</v>
      </c>
      <c r="X766" s="296" t="str">
        <f>CONCATENATE(V766,"_",W766)</f>
        <v>023_Servicio de Implementación Sistemas de Gestión</v>
      </c>
      <c r="Y766" s="296" t="str">
        <f>CONCATENATE(U766," ",X766)</f>
        <v>13-Servicios para la planeación y sistemas de gestión y comunicación estratégica 023_Servicio de Implementación Sistemas de Gestión</v>
      </c>
      <c r="Z766" s="300" t="str">
        <f>CONCATENATE(P766,Q766,R766,S766,V766)</f>
        <v>O23011745992024020713023</v>
      </c>
      <c r="AA766" s="300" t="str">
        <f>IFERROR(VLOOKUP(Y766,TD!$K$47:$L$65,2,0)," ")</f>
        <v>PM/0131/0113/45990230207</v>
      </c>
      <c r="AB766" s="131" t="s">
        <v>138</v>
      </c>
      <c r="AC766" s="301" t="s">
        <v>205</v>
      </c>
    </row>
    <row r="767" spans="2:29" ht="84" x14ac:dyDescent="0.35">
      <c r="B767" s="132">
        <v>20250851</v>
      </c>
      <c r="C767" s="50" t="s">
        <v>208</v>
      </c>
      <c r="D767" s="246" t="s">
        <v>36</v>
      </c>
      <c r="E767" s="51" t="s">
        <v>378</v>
      </c>
      <c r="F767" s="298" t="s">
        <v>1012</v>
      </c>
      <c r="G767" s="298" t="s">
        <v>155</v>
      </c>
      <c r="H767" s="134">
        <v>80111600</v>
      </c>
      <c r="I767" s="299">
        <v>9</v>
      </c>
      <c r="J767" s="299">
        <v>3</v>
      </c>
      <c r="K767" s="135">
        <v>0</v>
      </c>
      <c r="L767" s="131">
        <v>19500000</v>
      </c>
      <c r="M767" s="136" t="s">
        <v>464</v>
      </c>
      <c r="N767" s="131" t="s">
        <v>113</v>
      </c>
      <c r="O767" s="51" t="s">
        <v>212</v>
      </c>
      <c r="P767" s="300" t="str">
        <f>IFERROR(VLOOKUP(C767,TD!$B$33:$F$37,2,0)," ")</f>
        <v>O230117</v>
      </c>
      <c r="Q767" s="300" t="str">
        <f>IFERROR(VLOOKUP(C767,TD!$B$33:$F$37,3,0)," ")</f>
        <v>4599</v>
      </c>
      <c r="R767" s="300">
        <f>IFERROR(VLOOKUP(C767,TD!$B$33:$F$37,4,0)," ")</f>
        <v>20240207</v>
      </c>
      <c r="S767" s="51" t="s">
        <v>193</v>
      </c>
      <c r="T767" s="300" t="str">
        <f>IFERROR(VLOOKUP(S767,TD!$J$34:$K$44,2,0)," ")</f>
        <v>Servicios para la planeación y sistemas de gestión y comunicación estratégica</v>
      </c>
      <c r="U767" s="296" t="str">
        <f>CONCATENATE(S767,"-",T767)</f>
        <v>13-Servicios para la planeación y sistemas de gestión y comunicación estratégica</v>
      </c>
      <c r="V767" s="302" t="s">
        <v>241</v>
      </c>
      <c r="W767" s="248" t="str">
        <f>IFERROR(VLOOKUP(V767,TD!$N$34:$O$46,2,0)," ")</f>
        <v>Servicio de Implementación Sistemas de Gestión</v>
      </c>
      <c r="X767" s="296" t="str">
        <f>CONCATENATE(V767,"_",W767)</f>
        <v>023_Servicio de Implementación Sistemas de Gestión</v>
      </c>
      <c r="Y767" s="296" t="str">
        <f>CONCATENATE(U767," ",X767)</f>
        <v>13-Servicios para la planeación y sistemas de gestión y comunicación estratégica 023_Servicio de Implementación Sistemas de Gestión</v>
      </c>
      <c r="Z767" s="300" t="str">
        <f>CONCATENATE(P767,Q767,R767,S767,V767)</f>
        <v>O23011745992024020713023</v>
      </c>
      <c r="AA767" s="300" t="str">
        <f>IFERROR(VLOOKUP(Y767,TD!$K$47:$L$65,2,0)," ")</f>
        <v>PM/0131/0113/45990230207</v>
      </c>
      <c r="AB767" s="131" t="s">
        <v>138</v>
      </c>
      <c r="AC767" s="301" t="s">
        <v>205</v>
      </c>
    </row>
    <row r="768" spans="2:29" ht="56" x14ac:dyDescent="0.35">
      <c r="B768" s="132">
        <v>20250852</v>
      </c>
      <c r="C768" s="50" t="s">
        <v>208</v>
      </c>
      <c r="D768" s="246" t="s">
        <v>36</v>
      </c>
      <c r="E768" s="51" t="s">
        <v>378</v>
      </c>
      <c r="F768" s="298" t="s">
        <v>1013</v>
      </c>
      <c r="G768" s="298" t="s">
        <v>155</v>
      </c>
      <c r="H768" s="134">
        <v>80111600</v>
      </c>
      <c r="I768" s="299">
        <v>9</v>
      </c>
      <c r="J768" s="299">
        <v>3</v>
      </c>
      <c r="K768" s="135">
        <v>0</v>
      </c>
      <c r="L768" s="131">
        <v>21000000</v>
      </c>
      <c r="M768" s="136" t="s">
        <v>464</v>
      </c>
      <c r="N768" s="131" t="s">
        <v>113</v>
      </c>
      <c r="O768" s="51" t="s">
        <v>212</v>
      </c>
      <c r="P768" s="300" t="str">
        <f>IFERROR(VLOOKUP(C768,TD!$B$33:$F$37,2,0)," ")</f>
        <v>O230117</v>
      </c>
      <c r="Q768" s="300" t="str">
        <f>IFERROR(VLOOKUP(C768,TD!$B$33:$F$37,3,0)," ")</f>
        <v>4599</v>
      </c>
      <c r="R768" s="300">
        <f>IFERROR(VLOOKUP(C768,TD!$B$33:$F$37,4,0)," ")</f>
        <v>20240207</v>
      </c>
      <c r="S768" s="51" t="s">
        <v>193</v>
      </c>
      <c r="T768" s="300" t="str">
        <f>IFERROR(VLOOKUP(S768,TD!$J$34:$K$44,2,0)," ")</f>
        <v>Servicios para la planeación y sistemas de gestión y comunicación estratégica</v>
      </c>
      <c r="U768" s="296" t="str">
        <f>CONCATENATE(S768,"-",T768)</f>
        <v>13-Servicios para la planeación y sistemas de gestión y comunicación estratégica</v>
      </c>
      <c r="V768" s="302" t="s">
        <v>241</v>
      </c>
      <c r="W768" s="248" t="str">
        <f>IFERROR(VLOOKUP(V768,TD!$N$34:$O$46,2,0)," ")</f>
        <v>Servicio de Implementación Sistemas de Gestión</v>
      </c>
      <c r="X768" s="296" t="str">
        <f>CONCATENATE(V768,"_",W768)</f>
        <v>023_Servicio de Implementación Sistemas de Gestión</v>
      </c>
      <c r="Y768" s="296" t="str">
        <f>CONCATENATE(U768," ",X768)</f>
        <v>13-Servicios para la planeación y sistemas de gestión y comunicación estratégica 023_Servicio de Implementación Sistemas de Gestión</v>
      </c>
      <c r="Z768" s="300" t="str">
        <f>CONCATENATE(P768,Q768,R768,S768,V768)</f>
        <v>O23011745992024020713023</v>
      </c>
      <c r="AA768" s="300" t="str">
        <f>IFERROR(VLOOKUP(Y768,TD!$K$47:$L$65,2,0)," ")</f>
        <v>PM/0131/0113/45990230207</v>
      </c>
      <c r="AB768" s="131" t="s">
        <v>138</v>
      </c>
      <c r="AC768" s="301" t="s">
        <v>205</v>
      </c>
    </row>
    <row r="769" spans="2:29" ht="42" x14ac:dyDescent="0.35">
      <c r="B769" s="153">
        <v>20250854</v>
      </c>
      <c r="C769" s="256" t="s">
        <v>208</v>
      </c>
      <c r="D769" s="257" t="s">
        <v>161</v>
      </c>
      <c r="E769" s="259" t="s">
        <v>355</v>
      </c>
      <c r="F769" s="320" t="s">
        <v>1014</v>
      </c>
      <c r="G769" s="320" t="s">
        <v>155</v>
      </c>
      <c r="H769" s="178">
        <v>80111600</v>
      </c>
      <c r="I769" s="321">
        <v>8</v>
      </c>
      <c r="J769" s="321">
        <v>3</v>
      </c>
      <c r="K769" s="180">
        <v>0</v>
      </c>
      <c r="L769" s="187">
        <v>15000000</v>
      </c>
      <c r="M769" s="136" t="s">
        <v>464</v>
      </c>
      <c r="N769" s="131" t="s">
        <v>113</v>
      </c>
      <c r="O769" s="51" t="s">
        <v>220</v>
      </c>
      <c r="P769" s="322" t="str">
        <f>IFERROR(VLOOKUP(C769,TD!$B$33:$F$37,2,0)," ")</f>
        <v>O230117</v>
      </c>
      <c r="Q769" s="322" t="str">
        <f>IFERROR(VLOOKUP(C769,TD!$B$33:$F$37,3,0)," ")</f>
        <v>4599</v>
      </c>
      <c r="R769" s="322">
        <f>IFERROR(VLOOKUP(C769,TD!$B$33:$F$37,4,0)," ")</f>
        <v>20240207</v>
      </c>
      <c r="S769" s="259" t="s">
        <v>193</v>
      </c>
      <c r="T769" s="300" t="str">
        <f>IFERROR(VLOOKUP(S769,TD!$J$34:$K$44,2,0)," ")</f>
        <v>Servicios para la planeación y sistemas de gestión y comunicación estratégica</v>
      </c>
      <c r="U769" s="296" t="str">
        <f>CONCATENATE(S769,"-",T769)</f>
        <v>13-Servicios para la planeación y sistemas de gestión y comunicación estratégica</v>
      </c>
      <c r="V769" s="302" t="s">
        <v>242</v>
      </c>
      <c r="W769" s="248" t="str">
        <f>IFERROR(VLOOKUP(V769,TD!$N$34:$O$46,2,0)," ")</f>
        <v>Documentos de planeación</v>
      </c>
      <c r="X769" s="296" t="str">
        <f>CONCATENATE(V769,"_",W769)</f>
        <v>019_Documentos de planeación</v>
      </c>
      <c r="Y769" s="296" t="str">
        <f>CONCATENATE(U769," ",X769)</f>
        <v>13-Servicios para la planeación y sistemas de gestión y comunicación estratégica 019_Documentos de planeación</v>
      </c>
      <c r="Z769" s="322" t="str">
        <f>CONCATENATE(P769,Q769,R769,S769,V769)</f>
        <v>O23011745992024020713019</v>
      </c>
      <c r="AA769" s="322" t="str">
        <f>IFERROR(VLOOKUP(Y769,TD!$K$47:$L$65,2,0)," ")</f>
        <v>PM/0131/0113/45990190207</v>
      </c>
      <c r="AB769" s="131" t="s">
        <v>138</v>
      </c>
      <c r="AC769" s="323" t="s">
        <v>205</v>
      </c>
    </row>
    <row r="770" spans="2:29" ht="70" x14ac:dyDescent="0.35">
      <c r="B770" s="137">
        <v>20250856</v>
      </c>
      <c r="C770" s="129" t="s">
        <v>209</v>
      </c>
      <c r="D770" s="251" t="s">
        <v>166</v>
      </c>
      <c r="E770" s="252" t="s">
        <v>558</v>
      </c>
      <c r="F770" s="292" t="s">
        <v>1346</v>
      </c>
      <c r="G770" s="292" t="s">
        <v>109</v>
      </c>
      <c r="H770" s="139" t="s">
        <v>595</v>
      </c>
      <c r="I770" s="293">
        <v>8</v>
      </c>
      <c r="J770" s="293">
        <v>3</v>
      </c>
      <c r="K770" s="140">
        <v>0</v>
      </c>
      <c r="L770" s="141">
        <v>300000000</v>
      </c>
      <c r="M770" s="159" t="s">
        <v>1287</v>
      </c>
      <c r="N770" s="141" t="s">
        <v>95</v>
      </c>
      <c r="O770" s="252" t="s">
        <v>1025</v>
      </c>
      <c r="P770" s="294" t="str">
        <f>IFERROR(VLOOKUP(C770,TD!$B$33:$F$37,2,0)," ")</f>
        <v>O230117</v>
      </c>
      <c r="Q770" s="294" t="str">
        <f>IFERROR(VLOOKUP(C770,TD!$B$33:$F$37,3,0)," ")</f>
        <v>4503</v>
      </c>
      <c r="R770" s="294">
        <f>IFERROR(VLOOKUP(C770,TD!$B$33:$F$37,4,0)," ")</f>
        <v>20240255</v>
      </c>
      <c r="S770" s="252" t="s">
        <v>185</v>
      </c>
      <c r="T770" s="294" t="str">
        <f>IFERROR(VLOOKUP(S770,TD!$J$34:$K$44,2,0)," ")</f>
        <v>Infraestructura física, mantenimiento y dotación (Sedes construidas, mantenidas reforzadas)</v>
      </c>
      <c r="U770" s="296" t="str">
        <f>CONCATENATE(S770,"-",T770)</f>
        <v>08-Infraestructura física, mantenimiento y dotación (Sedes construidas, mantenidas reforzadas)</v>
      </c>
      <c r="V770" s="295" t="s">
        <v>236</v>
      </c>
      <c r="W770" s="254" t="str">
        <f>IFERROR(VLOOKUP(V770,TD!$N$34:$O$46,2,0)," ")</f>
        <v>Estaciones de bomberos adecuadas</v>
      </c>
      <c r="X770" s="296" t="str">
        <f>CONCATENATE(V770,"_",W770)</f>
        <v>014_Estaciones de bomberos adecuadas</v>
      </c>
      <c r="Y770" s="296" t="str">
        <f>CONCATENATE(U770," ",X770)</f>
        <v>08-Infraestructura física, mantenimiento y dotación (Sedes construidas, mantenidas reforzadas) 014_Estaciones de bomberos adecuadas</v>
      </c>
      <c r="Z770" s="294" t="str">
        <f>CONCATENATE(P770,Q770,R770,S770,V770)</f>
        <v>O23011745032024025508014</v>
      </c>
      <c r="AA770" s="294" t="str">
        <f>IFERROR(VLOOKUP(Y770,TD!$K$47:$L$65,2,0)," ")</f>
        <v>PM/0131/0108/45030140255</v>
      </c>
      <c r="AB770" s="141" t="s">
        <v>87</v>
      </c>
      <c r="AC770" s="297" t="s">
        <v>204</v>
      </c>
    </row>
    <row r="771" spans="2:29" ht="42" x14ac:dyDescent="0.35">
      <c r="B771" s="132">
        <v>20250857</v>
      </c>
      <c r="C771" s="256" t="s">
        <v>209</v>
      </c>
      <c r="D771" s="257" t="s">
        <v>166</v>
      </c>
      <c r="E771" s="51" t="s">
        <v>558</v>
      </c>
      <c r="F771" s="298" t="s">
        <v>1015</v>
      </c>
      <c r="G771" s="298" t="s">
        <v>109</v>
      </c>
      <c r="H771" s="134" t="s">
        <v>1022</v>
      </c>
      <c r="I771" s="299">
        <v>9</v>
      </c>
      <c r="J771" s="299">
        <v>3</v>
      </c>
      <c r="K771" s="135">
        <v>0</v>
      </c>
      <c r="L771" s="131">
        <v>108000000</v>
      </c>
      <c r="M771" s="258" t="s">
        <v>464</v>
      </c>
      <c r="N771" s="131" t="s">
        <v>95</v>
      </c>
      <c r="O771" s="51" t="s">
        <v>1025</v>
      </c>
      <c r="P771" s="300" t="str">
        <f>IFERROR(VLOOKUP(C771,TD!$B$33:$F$37,2,0)," ")</f>
        <v>O230117</v>
      </c>
      <c r="Q771" s="300" t="str">
        <f>IFERROR(VLOOKUP(C771,TD!$B$33:$F$37,3,0)," ")</f>
        <v>4503</v>
      </c>
      <c r="R771" s="300">
        <f>IFERROR(VLOOKUP(C771,TD!$B$33:$F$37,4,0)," ")</f>
        <v>20240255</v>
      </c>
      <c r="S771" s="259" t="s">
        <v>185</v>
      </c>
      <c r="T771" s="300" t="str">
        <f>IFERROR(VLOOKUP(S771,TD!$J$34:$K$44,2,0)," ")</f>
        <v>Infraestructura física, mantenimiento y dotación (Sedes construidas, mantenidas reforzadas)</v>
      </c>
      <c r="U771" s="296" t="str">
        <f>CONCATENATE(S771,"-",T771)</f>
        <v>08-Infraestructura física, mantenimiento y dotación (Sedes construidas, mantenidas reforzadas)</v>
      </c>
      <c r="V771" s="302" t="s">
        <v>236</v>
      </c>
      <c r="W771" s="248" t="str">
        <f>IFERROR(VLOOKUP(V771,TD!$N$34:$O$46,2,0)," ")</f>
        <v>Estaciones de bomberos adecuadas</v>
      </c>
      <c r="X771" s="296" t="str">
        <f>CONCATENATE(V771,"_",W771)</f>
        <v>014_Estaciones de bomberos adecuadas</v>
      </c>
      <c r="Y771" s="296" t="str">
        <f>CONCATENATE(U771," ",X771)</f>
        <v>08-Infraestructura física, mantenimiento y dotación (Sedes construidas, mantenidas reforzadas) 014_Estaciones de bomberos adecuadas</v>
      </c>
      <c r="Z771" s="300" t="str">
        <f>CONCATENATE(P771,Q771,R771,S771,V771)</f>
        <v>O23011745032024025508014</v>
      </c>
      <c r="AA771" s="300" t="str">
        <f>IFERROR(VLOOKUP(Y771,TD!$K$47:$L$65,2,0)," ")</f>
        <v>PM/0131/0108/45030140255</v>
      </c>
      <c r="AB771" s="131" t="s">
        <v>87</v>
      </c>
      <c r="AC771" s="301" t="s">
        <v>204</v>
      </c>
    </row>
    <row r="772" spans="2:29" ht="56" x14ac:dyDescent="0.35">
      <c r="B772" s="137">
        <v>20250858</v>
      </c>
      <c r="C772" s="129" t="s">
        <v>209</v>
      </c>
      <c r="D772" s="251" t="s">
        <v>166</v>
      </c>
      <c r="E772" s="252" t="s">
        <v>558</v>
      </c>
      <c r="F772" s="292" t="s">
        <v>1016</v>
      </c>
      <c r="G772" s="292" t="s">
        <v>109</v>
      </c>
      <c r="H772" s="139" t="s">
        <v>1336</v>
      </c>
      <c r="I772" s="293">
        <v>9</v>
      </c>
      <c r="J772" s="293">
        <v>3</v>
      </c>
      <c r="K772" s="140">
        <v>0</v>
      </c>
      <c r="L772" s="141">
        <f>120000000-2973972</f>
        <v>117026028</v>
      </c>
      <c r="M772" s="159" t="s">
        <v>464</v>
      </c>
      <c r="N772" s="141" t="s">
        <v>95</v>
      </c>
      <c r="O772" s="252" t="s">
        <v>1025</v>
      </c>
      <c r="P772" s="294" t="str">
        <f>IFERROR(VLOOKUP(C772,TD!$B$33:$F$37,2,0)," ")</f>
        <v>O230117</v>
      </c>
      <c r="Q772" s="294" t="str">
        <f>IFERROR(VLOOKUP(C772,TD!$B$33:$F$37,3,0)," ")</f>
        <v>4503</v>
      </c>
      <c r="R772" s="294">
        <f>IFERROR(VLOOKUP(C772,TD!$B$33:$F$37,4,0)," ")</f>
        <v>20240255</v>
      </c>
      <c r="S772" s="252" t="s">
        <v>185</v>
      </c>
      <c r="T772" s="294" t="str">
        <f>IFERROR(VLOOKUP(S772,TD!$J$34:$K$44,2,0)," ")</f>
        <v>Infraestructura física, mantenimiento y dotación (Sedes construidas, mantenidas reforzadas)</v>
      </c>
      <c r="U772" s="296" t="str">
        <f>CONCATENATE(S772,"-",T772)</f>
        <v>08-Infraestructura física, mantenimiento y dotación (Sedes construidas, mantenidas reforzadas)</v>
      </c>
      <c r="V772" s="295" t="s">
        <v>236</v>
      </c>
      <c r="W772" s="254" t="str">
        <f>IFERROR(VLOOKUP(V772,TD!$N$34:$O$46,2,0)," ")</f>
        <v>Estaciones de bomberos adecuadas</v>
      </c>
      <c r="X772" s="296" t="str">
        <f>CONCATENATE(V772,"_",W772)</f>
        <v>014_Estaciones de bomberos adecuadas</v>
      </c>
      <c r="Y772" s="296" t="str">
        <f>CONCATENATE(U772," ",X772)</f>
        <v>08-Infraestructura física, mantenimiento y dotación (Sedes construidas, mantenidas reforzadas) 014_Estaciones de bomberos adecuadas</v>
      </c>
      <c r="Z772" s="294" t="str">
        <f>CONCATENATE(P772,Q772,R772,S772,V772)</f>
        <v>O23011745032024025508014</v>
      </c>
      <c r="AA772" s="294" t="str">
        <f>IFERROR(VLOOKUP(Y772,TD!$K$47:$L$65,2,0)," ")</f>
        <v>PM/0131/0108/45030140255</v>
      </c>
      <c r="AB772" s="141" t="s">
        <v>87</v>
      </c>
      <c r="AC772" s="297" t="s">
        <v>204</v>
      </c>
    </row>
    <row r="773" spans="2:29" ht="56" x14ac:dyDescent="0.35">
      <c r="B773" s="132">
        <v>20250859</v>
      </c>
      <c r="C773" s="256" t="s">
        <v>209</v>
      </c>
      <c r="D773" s="257" t="s">
        <v>166</v>
      </c>
      <c r="E773" s="51" t="s">
        <v>558</v>
      </c>
      <c r="F773" s="298" t="s">
        <v>1017</v>
      </c>
      <c r="G773" s="298" t="s">
        <v>109</v>
      </c>
      <c r="H773" s="134" t="s">
        <v>1023</v>
      </c>
      <c r="I773" s="299">
        <v>9</v>
      </c>
      <c r="J773" s="299">
        <v>3</v>
      </c>
      <c r="K773" s="135">
        <v>0</v>
      </c>
      <c r="L773" s="131">
        <v>66000000</v>
      </c>
      <c r="M773" s="258" t="s">
        <v>464</v>
      </c>
      <c r="N773" s="131" t="s">
        <v>95</v>
      </c>
      <c r="O773" s="51" t="s">
        <v>1025</v>
      </c>
      <c r="P773" s="300" t="str">
        <f>IFERROR(VLOOKUP(C773,TD!$B$33:$F$37,2,0)," ")</f>
        <v>O230117</v>
      </c>
      <c r="Q773" s="300" t="str">
        <f>IFERROR(VLOOKUP(C773,TD!$B$33:$F$37,3,0)," ")</f>
        <v>4503</v>
      </c>
      <c r="R773" s="300">
        <f>IFERROR(VLOOKUP(C773,TD!$B$33:$F$37,4,0)," ")</f>
        <v>20240255</v>
      </c>
      <c r="S773" s="259" t="s">
        <v>185</v>
      </c>
      <c r="T773" s="300" t="str">
        <f>IFERROR(VLOOKUP(S773,TD!$J$34:$K$44,2,0)," ")</f>
        <v>Infraestructura física, mantenimiento y dotación (Sedes construidas, mantenidas reforzadas)</v>
      </c>
      <c r="U773" s="296" t="str">
        <f>CONCATENATE(S773,"-",T773)</f>
        <v>08-Infraestructura física, mantenimiento y dotación (Sedes construidas, mantenidas reforzadas)</v>
      </c>
      <c r="V773" s="302" t="s">
        <v>236</v>
      </c>
      <c r="W773" s="248" t="str">
        <f>IFERROR(VLOOKUP(V773,TD!$N$34:$O$46,2,0)," ")</f>
        <v>Estaciones de bomberos adecuadas</v>
      </c>
      <c r="X773" s="296" t="str">
        <f>CONCATENATE(V773,"_",W773)</f>
        <v>014_Estaciones de bomberos adecuadas</v>
      </c>
      <c r="Y773" s="296" t="str">
        <f>CONCATENATE(U773," ",X773)</f>
        <v>08-Infraestructura física, mantenimiento y dotación (Sedes construidas, mantenidas reforzadas) 014_Estaciones de bomberos adecuadas</v>
      </c>
      <c r="Z773" s="300" t="str">
        <f>CONCATENATE(P773,Q773,R773,S773,V773)</f>
        <v>O23011745032024025508014</v>
      </c>
      <c r="AA773" s="300" t="str">
        <f>IFERROR(VLOOKUP(Y773,TD!$K$47:$L$65,2,0)," ")</f>
        <v>PM/0131/0108/45030140255</v>
      </c>
      <c r="AB773" s="131" t="s">
        <v>87</v>
      </c>
      <c r="AC773" s="301" t="s">
        <v>204</v>
      </c>
    </row>
    <row r="774" spans="2:29" ht="70" x14ac:dyDescent="0.35">
      <c r="B774" s="132">
        <v>20250860</v>
      </c>
      <c r="C774" s="256" t="s">
        <v>209</v>
      </c>
      <c r="D774" s="257" t="s">
        <v>166</v>
      </c>
      <c r="E774" s="51" t="s">
        <v>558</v>
      </c>
      <c r="F774" s="298" t="s">
        <v>919</v>
      </c>
      <c r="G774" s="298" t="s">
        <v>109</v>
      </c>
      <c r="H774" s="134" t="s">
        <v>839</v>
      </c>
      <c r="I774" s="299">
        <v>8</v>
      </c>
      <c r="J774" s="299">
        <v>2</v>
      </c>
      <c r="K774" s="135">
        <v>0</v>
      </c>
      <c r="L774" s="131">
        <f>34000000-13095000</f>
        <v>20905000</v>
      </c>
      <c r="M774" s="258" t="s">
        <v>464</v>
      </c>
      <c r="N774" s="131" t="s">
        <v>100</v>
      </c>
      <c r="O774" s="51" t="s">
        <v>1025</v>
      </c>
      <c r="P774" s="300" t="str">
        <f>IFERROR(VLOOKUP(C774,TD!$B$33:$F$37,2,0)," ")</f>
        <v>O230117</v>
      </c>
      <c r="Q774" s="300" t="str">
        <f>IFERROR(VLOOKUP(C774,TD!$B$33:$F$37,3,0)," ")</f>
        <v>4503</v>
      </c>
      <c r="R774" s="300">
        <f>IFERROR(VLOOKUP(C774,TD!$B$33:$F$37,4,0)," ")</f>
        <v>20240255</v>
      </c>
      <c r="S774" s="259" t="s">
        <v>185</v>
      </c>
      <c r="T774" s="300" t="str">
        <f>IFERROR(VLOOKUP(S774,TD!$J$34:$K$44,2,0)," ")</f>
        <v>Infraestructura física, mantenimiento y dotación (Sedes construidas, mantenidas reforzadas)</v>
      </c>
      <c r="U774" s="296" t="str">
        <f>CONCATENATE(S774,"-",T774)</f>
        <v>08-Infraestructura física, mantenimiento y dotación (Sedes construidas, mantenidas reforzadas)</v>
      </c>
      <c r="V774" s="302" t="s">
        <v>236</v>
      </c>
      <c r="W774" s="248" t="str">
        <f>IFERROR(VLOOKUP(V774,TD!$N$34:$O$46,2,0)," ")</f>
        <v>Estaciones de bomberos adecuadas</v>
      </c>
      <c r="X774" s="296" t="str">
        <f>CONCATENATE(V774,"_",W774)</f>
        <v>014_Estaciones de bomberos adecuadas</v>
      </c>
      <c r="Y774" s="296" t="str">
        <f>CONCATENATE(U774," ",X774)</f>
        <v>08-Infraestructura física, mantenimiento y dotación (Sedes construidas, mantenidas reforzadas) 014_Estaciones de bomberos adecuadas</v>
      </c>
      <c r="Z774" s="300" t="str">
        <f>CONCATENATE(P774,Q774,R774,S774,V774)</f>
        <v>O23011745032024025508014</v>
      </c>
      <c r="AA774" s="300" t="str">
        <f>IFERROR(VLOOKUP(Y774,TD!$K$47:$L$65,2,0)," ")</f>
        <v>PM/0131/0108/45030140255</v>
      </c>
      <c r="AB774" s="131" t="s">
        <v>1027</v>
      </c>
      <c r="AC774" s="301" t="s">
        <v>204</v>
      </c>
    </row>
    <row r="775" spans="2:29" ht="70" x14ac:dyDescent="0.35">
      <c r="B775" s="137">
        <v>20250861</v>
      </c>
      <c r="C775" s="129" t="s">
        <v>209</v>
      </c>
      <c r="D775" s="251" t="s">
        <v>166</v>
      </c>
      <c r="E775" s="252" t="s">
        <v>558</v>
      </c>
      <c r="F775" s="292" t="s">
        <v>1018</v>
      </c>
      <c r="G775" s="292" t="s">
        <v>109</v>
      </c>
      <c r="H775" s="139" t="s">
        <v>1338</v>
      </c>
      <c r="I775" s="293">
        <v>9</v>
      </c>
      <c r="J775" s="293">
        <v>2</v>
      </c>
      <c r="K775" s="140">
        <v>0</v>
      </c>
      <c r="L775" s="141">
        <f>82000000-242197-38697232</f>
        <v>43060571</v>
      </c>
      <c r="M775" s="158" t="s">
        <v>1287</v>
      </c>
      <c r="N775" s="141" t="s">
        <v>95</v>
      </c>
      <c r="O775" s="252" t="s">
        <v>1025</v>
      </c>
      <c r="P775" s="294" t="str">
        <f>IFERROR(VLOOKUP(C775,TD!$B$33:$F$37,2,0)," ")</f>
        <v>O230117</v>
      </c>
      <c r="Q775" s="294" t="str">
        <f>IFERROR(VLOOKUP(C775,TD!$B$33:$F$37,3,0)," ")</f>
        <v>4503</v>
      </c>
      <c r="R775" s="294">
        <f>IFERROR(VLOOKUP(C775,TD!$B$33:$F$37,4,0)," ")</f>
        <v>20240255</v>
      </c>
      <c r="S775" s="295" t="s">
        <v>185</v>
      </c>
      <c r="T775" s="294" t="str">
        <f>IFERROR(VLOOKUP(S775,TD!$J$34:$K$44,2,0)," ")</f>
        <v>Infraestructura física, mantenimiento y dotación (Sedes construidas, mantenidas reforzadas)</v>
      </c>
      <c r="U775" s="296" t="str">
        <f>CONCATENATE(S775,"-",T775)</f>
        <v>08-Infraestructura física, mantenimiento y dotación (Sedes construidas, mantenidas reforzadas)</v>
      </c>
      <c r="V775" s="295" t="s">
        <v>236</v>
      </c>
      <c r="W775" s="254" t="str">
        <f>IFERROR(VLOOKUP(V775,TD!$N$34:$O$46,2,0)," ")</f>
        <v>Estaciones de bomberos adecuadas</v>
      </c>
      <c r="X775" s="296" t="str">
        <f>CONCATENATE(V775,"_",W775)</f>
        <v>014_Estaciones de bomberos adecuadas</v>
      </c>
      <c r="Y775" s="296" t="str">
        <f>CONCATENATE(U775," ",X775)</f>
        <v>08-Infraestructura física, mantenimiento y dotación (Sedes construidas, mantenidas reforzadas) 014_Estaciones de bomberos adecuadas</v>
      </c>
      <c r="Z775" s="294" t="str">
        <f>CONCATENATE(P775,Q775,R775,S775,V775)</f>
        <v>O23011745032024025508014</v>
      </c>
      <c r="AA775" s="294" t="str">
        <f>IFERROR(VLOOKUP(Y775,TD!$K$47:$L$65,2,0)," ")</f>
        <v>PM/0131/0108/45030140255</v>
      </c>
      <c r="AB775" s="141" t="s">
        <v>1028</v>
      </c>
      <c r="AC775" s="297" t="s">
        <v>204</v>
      </c>
    </row>
    <row r="776" spans="2:29" ht="98" x14ac:dyDescent="0.35">
      <c r="B776" s="137">
        <v>20250862</v>
      </c>
      <c r="C776" s="138" t="s">
        <v>209</v>
      </c>
      <c r="D776" s="251" t="s">
        <v>166</v>
      </c>
      <c r="E776" s="252" t="s">
        <v>558</v>
      </c>
      <c r="F776" s="292" t="s">
        <v>1019</v>
      </c>
      <c r="G776" s="292" t="s">
        <v>109</v>
      </c>
      <c r="H776" s="139" t="s">
        <v>1024</v>
      </c>
      <c r="I776" s="293">
        <v>8</v>
      </c>
      <c r="J776" s="293">
        <v>2</v>
      </c>
      <c r="K776" s="140">
        <v>0</v>
      </c>
      <c r="L776" s="141">
        <f>130000000-61500000</f>
        <v>68500000</v>
      </c>
      <c r="M776" s="158" t="s">
        <v>464</v>
      </c>
      <c r="N776" s="141" t="s">
        <v>95</v>
      </c>
      <c r="O776" s="252" t="s">
        <v>1025</v>
      </c>
      <c r="P776" s="294" t="str">
        <f>IFERROR(VLOOKUP(C776,TD!$B$33:$F$37,2,0)," ")</f>
        <v>O230117</v>
      </c>
      <c r="Q776" s="294" t="str">
        <f>IFERROR(VLOOKUP(C776,TD!$B$33:$F$37,3,0)," ")</f>
        <v>4503</v>
      </c>
      <c r="R776" s="294">
        <f>IFERROR(VLOOKUP(C776,TD!$B$33:$F$37,4,0)," ")</f>
        <v>20240255</v>
      </c>
      <c r="S776" s="295" t="s">
        <v>185</v>
      </c>
      <c r="T776" s="294" t="str">
        <f>IFERROR(VLOOKUP(S776,TD!$J$34:$K$44,2,0)," ")</f>
        <v>Infraestructura física, mantenimiento y dotación (Sedes construidas, mantenidas reforzadas)</v>
      </c>
      <c r="U776" s="296" t="str">
        <f>CONCATENATE(S776,"-",T776)</f>
        <v>08-Infraestructura física, mantenimiento y dotación (Sedes construidas, mantenidas reforzadas)</v>
      </c>
      <c r="V776" s="295" t="s">
        <v>236</v>
      </c>
      <c r="W776" s="254" t="str">
        <f>IFERROR(VLOOKUP(V776,TD!$N$34:$O$46,2,0)," ")</f>
        <v>Estaciones de bomberos adecuadas</v>
      </c>
      <c r="X776" s="296" t="str">
        <f>CONCATENATE(V776,"_",W776)</f>
        <v>014_Estaciones de bomberos adecuadas</v>
      </c>
      <c r="Y776" s="296" t="str">
        <f>CONCATENATE(U776," ",X776)</f>
        <v>08-Infraestructura física, mantenimiento y dotación (Sedes construidas, mantenidas reforzadas) 014_Estaciones de bomberos adecuadas</v>
      </c>
      <c r="Z776" s="294" t="str">
        <f>CONCATENATE(P776,Q776,R776,S776,V776)</f>
        <v>O23011745032024025508014</v>
      </c>
      <c r="AA776" s="294" t="str">
        <f>IFERROR(VLOOKUP(Y776,TD!$K$47:$L$65,2,0)," ")</f>
        <v>PM/0131/0108/45030140255</v>
      </c>
      <c r="AB776" s="141" t="s">
        <v>87</v>
      </c>
      <c r="AC776" s="297" t="s">
        <v>204</v>
      </c>
    </row>
    <row r="777" spans="2:29" ht="56" x14ac:dyDescent="0.35">
      <c r="B777" s="127">
        <v>20250863</v>
      </c>
      <c r="C777" s="129" t="s">
        <v>209</v>
      </c>
      <c r="D777" s="251" t="s">
        <v>166</v>
      </c>
      <c r="E777" s="252" t="s">
        <v>558</v>
      </c>
      <c r="F777" s="251" t="s">
        <v>1302</v>
      </c>
      <c r="G777" s="251" t="s">
        <v>109</v>
      </c>
      <c r="H777" s="130" t="s">
        <v>870</v>
      </c>
      <c r="I777" s="253">
        <v>10</v>
      </c>
      <c r="J777" s="253">
        <v>2</v>
      </c>
      <c r="K777" s="126">
        <v>0</v>
      </c>
      <c r="L777" s="125">
        <f>1323628779-23877293</f>
        <v>1299751486</v>
      </c>
      <c r="M777" s="159" t="s">
        <v>464</v>
      </c>
      <c r="N777" s="125" t="s">
        <v>95</v>
      </c>
      <c r="O777" s="252" t="s">
        <v>1025</v>
      </c>
      <c r="P777" s="254" t="str">
        <f>IFERROR(VLOOKUP(C777,TD!$B$33:$F$37,2,0)," ")</f>
        <v>O230117</v>
      </c>
      <c r="Q777" s="254" t="str">
        <f>IFERROR(VLOOKUP(C777,TD!$B$33:$F$37,3,0)," ")</f>
        <v>4503</v>
      </c>
      <c r="R777" s="254">
        <f>IFERROR(VLOOKUP(C777,TD!$B$33:$F$37,4,0)," ")</f>
        <v>20240255</v>
      </c>
      <c r="S777" s="252" t="s">
        <v>185</v>
      </c>
      <c r="T777" s="254" t="str">
        <f>IFERROR(VLOOKUP(S777,TD!$J$34:$K$44,2,0)," ")</f>
        <v>Infraestructura física, mantenimiento y dotación (Sedes construidas, mantenidas reforzadas)</v>
      </c>
      <c r="U777" s="249" t="str">
        <f>CONCATENATE(S777,"-",T777)</f>
        <v>08-Infraestructura física, mantenimiento y dotación (Sedes construidas, mantenidas reforzadas)</v>
      </c>
      <c r="V777" s="252" t="s">
        <v>236</v>
      </c>
      <c r="W777" s="254" t="str">
        <f>IFERROR(VLOOKUP(V777,TD!$N$34:$O$46,2,0)," ")</f>
        <v>Estaciones de bomberos adecuadas</v>
      </c>
      <c r="X777" s="249" t="str">
        <f>CONCATENATE(V777,"_",W777)</f>
        <v>014_Estaciones de bomberos adecuadas</v>
      </c>
      <c r="Y777" s="249" t="str">
        <f>CONCATENATE(U777," ",X777)</f>
        <v>08-Infraestructura física, mantenimiento y dotación (Sedes construidas, mantenidas reforzadas) 014_Estaciones de bomberos adecuadas</v>
      </c>
      <c r="Z777" s="254" t="str">
        <f>CONCATENATE(P777,Q777,R777,S777,V777)</f>
        <v>O23011745032024025508014</v>
      </c>
      <c r="AA777" s="254" t="str">
        <f>IFERROR(VLOOKUP(Y777,TD!$K$47:$L$65,2,0)," ")</f>
        <v>PM/0131/0108/45030140255</v>
      </c>
      <c r="AB777" s="125" t="s">
        <v>1029</v>
      </c>
      <c r="AC777" s="255" t="s">
        <v>204</v>
      </c>
    </row>
    <row r="778" spans="2:29" ht="56" x14ac:dyDescent="0.35">
      <c r="B778" s="137">
        <v>20250864</v>
      </c>
      <c r="C778" s="138" t="s">
        <v>209</v>
      </c>
      <c r="D778" s="292" t="s">
        <v>166</v>
      </c>
      <c r="E778" s="295" t="s">
        <v>558</v>
      </c>
      <c r="F778" s="292" t="s">
        <v>1339</v>
      </c>
      <c r="G778" s="292" t="s">
        <v>109</v>
      </c>
      <c r="H778" s="139" t="s">
        <v>837</v>
      </c>
      <c r="I778" s="293">
        <v>8</v>
      </c>
      <c r="J778" s="293">
        <v>3</v>
      </c>
      <c r="K778" s="140">
        <v>0</v>
      </c>
      <c r="L778" s="141">
        <f>30000000-910</f>
        <v>29999090</v>
      </c>
      <c r="M778" s="159" t="s">
        <v>464</v>
      </c>
      <c r="N778" s="125" t="s">
        <v>100</v>
      </c>
      <c r="O778" s="252" t="s">
        <v>1025</v>
      </c>
      <c r="P778" s="294" t="str">
        <f>IFERROR(VLOOKUP(C778,TD!$B$33:$F$37,2,0)," ")</f>
        <v>O230117</v>
      </c>
      <c r="Q778" s="294" t="str">
        <f>IFERROR(VLOOKUP(C778,TD!$B$33:$F$37,3,0)," ")</f>
        <v>4503</v>
      </c>
      <c r="R778" s="294">
        <f>IFERROR(VLOOKUP(C778,TD!$B$33:$F$37,4,0)," ")</f>
        <v>20240255</v>
      </c>
      <c r="S778" s="252" t="s">
        <v>185</v>
      </c>
      <c r="T778" s="254" t="str">
        <f>IFERROR(VLOOKUP(S778,TD!$J$34:$K$44,2,0)," ")</f>
        <v>Infraestructura física, mantenimiento y dotación (Sedes construidas, mantenidas reforzadas)</v>
      </c>
      <c r="U778" s="249" t="str">
        <f>CONCATENATE(S778,"-",T778)</f>
        <v>08-Infraestructura física, mantenimiento y dotación (Sedes construidas, mantenidas reforzadas)</v>
      </c>
      <c r="V778" s="252" t="s">
        <v>236</v>
      </c>
      <c r="W778" s="254" t="str">
        <f>IFERROR(VLOOKUP(V778,TD!$N$34:$O$46,2,0)," ")</f>
        <v>Estaciones de bomberos adecuadas</v>
      </c>
      <c r="X778" s="296" t="str">
        <f>CONCATENATE(V778,"_",W778)</f>
        <v>014_Estaciones de bomberos adecuadas</v>
      </c>
      <c r="Y778" s="296" t="str">
        <f>CONCATENATE(U778," ",X778)</f>
        <v>08-Infraestructura física, mantenimiento y dotación (Sedes construidas, mantenidas reforzadas) 014_Estaciones de bomberos adecuadas</v>
      </c>
      <c r="Z778" s="294" t="str">
        <f>CONCATENATE(P778,Q778,R778,S778,V778)</f>
        <v>O23011745032024025508014</v>
      </c>
      <c r="AA778" s="294" t="str">
        <f>IFERROR(VLOOKUP(Y778,TD!$K$47:$L$65,2,0)," ")</f>
        <v>PM/0131/0108/45030140255</v>
      </c>
      <c r="AB778" s="125" t="s">
        <v>1030</v>
      </c>
      <c r="AC778" s="297" t="s">
        <v>204</v>
      </c>
    </row>
    <row r="779" spans="2:29" ht="42" x14ac:dyDescent="0.35">
      <c r="B779" s="132">
        <v>20250865</v>
      </c>
      <c r="C779" s="133" t="s">
        <v>208</v>
      </c>
      <c r="D779" s="320" t="s">
        <v>166</v>
      </c>
      <c r="E779" s="302" t="s">
        <v>558</v>
      </c>
      <c r="F779" s="298" t="s">
        <v>1020</v>
      </c>
      <c r="G779" s="298" t="s">
        <v>96</v>
      </c>
      <c r="H779" s="134" t="s">
        <v>627</v>
      </c>
      <c r="I779" s="299">
        <v>9</v>
      </c>
      <c r="J779" s="299">
        <v>0</v>
      </c>
      <c r="K779" s="135">
        <v>20</v>
      </c>
      <c r="L779" s="131">
        <v>94585950</v>
      </c>
      <c r="M779" s="258" t="s">
        <v>464</v>
      </c>
      <c r="N779" s="53" t="s">
        <v>90</v>
      </c>
      <c r="O779" s="51" t="s">
        <v>218</v>
      </c>
      <c r="P779" s="300" t="str">
        <f>IFERROR(VLOOKUP(C779,TD!$B$33:$F$37,2,0)," ")</f>
        <v>O230117</v>
      </c>
      <c r="Q779" s="300" t="str">
        <f>IFERROR(VLOOKUP(C779,TD!$B$33:$F$37,3,0)," ")</f>
        <v>4599</v>
      </c>
      <c r="R779" s="300">
        <f>IFERROR(VLOOKUP(C779,TD!$B$33:$F$37,4,0)," ")</f>
        <v>20240207</v>
      </c>
      <c r="S779" s="259" t="s">
        <v>185</v>
      </c>
      <c r="T779" s="248" t="str">
        <f>IFERROR(VLOOKUP(S779,TD!$J$34:$K$44,2,0)," ")</f>
        <v>Infraestructura física, mantenimiento y dotación (Sedes construidas, mantenidas reforzadas)</v>
      </c>
      <c r="U779" s="249" t="str">
        <f>CONCATENATE(S779,"-",T779)</f>
        <v>08-Infraestructura física, mantenimiento y dotación (Sedes construidas, mantenidas reforzadas)</v>
      </c>
      <c r="V779" s="51" t="s">
        <v>238</v>
      </c>
      <c r="W779" s="248" t="str">
        <f>IFERROR(VLOOKUP(V779,TD!$N$34:$O$46,2,0)," ")</f>
        <v>Sedes mantenidas</v>
      </c>
      <c r="X779" s="296" t="str">
        <f>CONCATENATE(V779,"_",W779)</f>
        <v>016_Sedes mantenidas</v>
      </c>
      <c r="Y779" s="296" t="str">
        <f>CONCATENATE(U779," ",X779)</f>
        <v>08-Infraestructura física, mantenimiento y dotación (Sedes construidas, mantenidas reforzadas) 016_Sedes mantenidas</v>
      </c>
      <c r="Z779" s="300" t="str">
        <f>CONCATENATE(P779,Q779,R779,S779,V779)</f>
        <v>O23011745992024020708016</v>
      </c>
      <c r="AA779" s="300" t="str">
        <f>IFERROR(VLOOKUP(Y779,TD!$K$47:$L$65,2,0)," ")</f>
        <v>PM/0131/0108/45990160207</v>
      </c>
      <c r="AB779" s="53" t="s">
        <v>141</v>
      </c>
      <c r="AC779" s="301" t="s">
        <v>205</v>
      </c>
    </row>
    <row r="780" spans="2:29" ht="56" x14ac:dyDescent="0.35">
      <c r="B780" s="132">
        <v>20250866</v>
      </c>
      <c r="C780" s="167" t="s">
        <v>346</v>
      </c>
      <c r="D780" s="320" t="s">
        <v>166</v>
      </c>
      <c r="E780" s="302" t="s">
        <v>558</v>
      </c>
      <c r="F780" s="298" t="s">
        <v>1020</v>
      </c>
      <c r="G780" s="298" t="s">
        <v>96</v>
      </c>
      <c r="H780" s="134" t="s">
        <v>627</v>
      </c>
      <c r="I780" s="299">
        <v>9</v>
      </c>
      <c r="J780" s="299">
        <v>0</v>
      </c>
      <c r="K780" s="135">
        <v>20</v>
      </c>
      <c r="L780" s="131">
        <v>25414050</v>
      </c>
      <c r="M780" s="136" t="s">
        <v>172</v>
      </c>
      <c r="N780" s="53" t="s">
        <v>90</v>
      </c>
      <c r="O780" s="51" t="s">
        <v>347</v>
      </c>
      <c r="P780" s="300" t="str">
        <f>IFERROR(VLOOKUP(C780,TD!$B$33:$F$37,2,0)," ")</f>
        <v>NA</v>
      </c>
      <c r="Q780" s="300" t="str">
        <f>IFERROR(VLOOKUP(C780,TD!$B$33:$F$37,3,0)," ")</f>
        <v>NA</v>
      </c>
      <c r="R780" s="300" t="str">
        <f>IFERROR(VLOOKUP(C780,TD!$B$33:$F$37,4,0)," ")</f>
        <v>NA</v>
      </c>
      <c r="S780" s="51" t="s">
        <v>406</v>
      </c>
      <c r="T780" s="248" t="str">
        <f>IFERROR(VLOOKUP(S780,TD!$J$34:$K$44,2,0)," ")</f>
        <v>N/A</v>
      </c>
      <c r="U780" s="249" t="str">
        <f>CONCATENATE(S780,"-",T780)</f>
        <v>N/A-N/A</v>
      </c>
      <c r="V780" s="51" t="s">
        <v>406</v>
      </c>
      <c r="W780" s="248" t="str">
        <f>IFERROR(VLOOKUP(V780,TD!$N$34:$O$46,2,0)," ")</f>
        <v>N/A</v>
      </c>
      <c r="X780" s="296" t="str">
        <f>CONCATENATE(V780,"_",W780)</f>
        <v>N/A_N/A</v>
      </c>
      <c r="Y780" s="296" t="str">
        <f>CONCATENATE(U780," ",X780)</f>
        <v>N/A-N/A N/A_N/A</v>
      </c>
      <c r="Z780" s="300" t="str">
        <f>CONCATENATE(P780,Q780,R780,S780,V780)</f>
        <v>NANANAN/AN/A</v>
      </c>
      <c r="AA780" s="300" t="str">
        <f>IFERROR(VLOOKUP(Y780,TD!$K$47:$L$65,2,0)," ")</f>
        <v>N/A</v>
      </c>
      <c r="AB780" s="53" t="s">
        <v>348</v>
      </c>
      <c r="AC780" s="301" t="s">
        <v>205</v>
      </c>
    </row>
    <row r="781" spans="2:29" ht="42" x14ac:dyDescent="0.35">
      <c r="B781" s="132">
        <v>20250867</v>
      </c>
      <c r="C781" s="133" t="s">
        <v>208</v>
      </c>
      <c r="D781" s="298" t="s">
        <v>36</v>
      </c>
      <c r="E781" s="302" t="s">
        <v>378</v>
      </c>
      <c r="F781" s="298" t="s">
        <v>1032</v>
      </c>
      <c r="G781" s="298" t="s">
        <v>155</v>
      </c>
      <c r="H781" s="134">
        <v>80111600</v>
      </c>
      <c r="I781" s="299">
        <v>11</v>
      </c>
      <c r="J781" s="299">
        <v>1</v>
      </c>
      <c r="K781" s="135">
        <v>0</v>
      </c>
      <c r="L781" s="131">
        <f>6575616+724384+1876759+1773241</f>
        <v>10950000</v>
      </c>
      <c r="M781" s="136" t="s">
        <v>464</v>
      </c>
      <c r="N781" s="131" t="s">
        <v>113</v>
      </c>
      <c r="O781" s="51" t="s">
        <v>211</v>
      </c>
      <c r="P781" s="300" t="str">
        <f>IFERROR(VLOOKUP(C781,TD!$B$33:$F$37,2,0)," ")</f>
        <v>O230117</v>
      </c>
      <c r="Q781" s="300" t="str">
        <f>IFERROR(VLOOKUP(C781,TD!$B$33:$F$37,3,0)," ")</f>
        <v>4599</v>
      </c>
      <c r="R781" s="300">
        <f>IFERROR(VLOOKUP(C781,TD!$B$33:$F$37,4,0)," ")</f>
        <v>20240207</v>
      </c>
      <c r="S781" s="51" t="s">
        <v>193</v>
      </c>
      <c r="T781" s="248" t="str">
        <f>IFERROR(VLOOKUP(S781,TD!$J$34:$K$44,2,0)," ")</f>
        <v>Servicios para la planeación y sistemas de gestión y comunicación estratégica</v>
      </c>
      <c r="U781" s="249" t="str">
        <f>CONCATENATE(S781,"-",T781)</f>
        <v>13-Servicios para la planeación y sistemas de gestión y comunicación estratégica</v>
      </c>
      <c r="V781" s="51" t="s">
        <v>240</v>
      </c>
      <c r="W781" s="248" t="str">
        <f>IFERROR(VLOOKUP(V781,TD!$N$34:$O$46,2,0)," ")</f>
        <v>Servicio de asistencia técnica</v>
      </c>
      <c r="X781" s="296" t="str">
        <f>CONCATENATE(V781,"_",W781)</f>
        <v>031_Servicio de asistencia técnica</v>
      </c>
      <c r="Y781" s="296" t="str">
        <f>CONCATENATE(U781," ",X781)</f>
        <v>13-Servicios para la planeación y sistemas de gestión y comunicación estratégica 031_Servicio de asistencia técnica</v>
      </c>
      <c r="Z781" s="300" t="str">
        <f>CONCATENATE(P781,Q781,R781,S781,V781)</f>
        <v>O23011745992024020713031</v>
      </c>
      <c r="AA781" s="300" t="str">
        <f>IFERROR(VLOOKUP(Y781,TD!$K$47:$L$65,2,0)," ")</f>
        <v>PM/0131/0113/45990310207</v>
      </c>
      <c r="AB781" s="53" t="s">
        <v>138</v>
      </c>
      <c r="AC781" s="301" t="s">
        <v>205</v>
      </c>
    </row>
    <row r="782" spans="2:29" ht="56" x14ac:dyDescent="0.35">
      <c r="B782" s="137">
        <v>20250868</v>
      </c>
      <c r="C782" s="138" t="s">
        <v>209</v>
      </c>
      <c r="D782" s="292" t="s">
        <v>167</v>
      </c>
      <c r="E782" s="295" t="s">
        <v>505</v>
      </c>
      <c r="F782" s="292" t="s">
        <v>1034</v>
      </c>
      <c r="G782" s="292" t="s">
        <v>156</v>
      </c>
      <c r="H782" s="139">
        <v>80111600</v>
      </c>
      <c r="I782" s="293">
        <v>9</v>
      </c>
      <c r="J782" s="293">
        <v>3</v>
      </c>
      <c r="K782" s="140">
        <v>0</v>
      </c>
      <c r="L782" s="141">
        <v>12000000</v>
      </c>
      <c r="M782" s="159" t="s">
        <v>464</v>
      </c>
      <c r="N782" s="125" t="s">
        <v>113</v>
      </c>
      <c r="O782" s="252" t="s">
        <v>221</v>
      </c>
      <c r="P782" s="294" t="str">
        <f>IFERROR(VLOOKUP(C782,TD!$B$33:$F$37,2,0)," ")</f>
        <v>O230117</v>
      </c>
      <c r="Q782" s="294" t="str">
        <f>IFERROR(VLOOKUP(C782,TD!$B$33:$F$37,3,0)," ")</f>
        <v>4503</v>
      </c>
      <c r="R782" s="294">
        <f>IFERROR(VLOOKUP(C782,TD!$B$33:$F$37,4,0)," ")</f>
        <v>20240255</v>
      </c>
      <c r="S782" s="252" t="s">
        <v>177</v>
      </c>
      <c r="T782" s="254" t="str">
        <f>IFERROR(VLOOKUP(S782,TD!$J$34:$K$44,2,0)," ")</f>
        <v>Servicio de capacitaciones en gestión del riesgo de incendios  a la ciudadania.</v>
      </c>
      <c r="U782" s="249" t="str">
        <f>CONCATENATE(S782,"-",T782)</f>
        <v>05-Servicio de capacitaciones en gestión del riesgo de incendios  a la ciudadania.</v>
      </c>
      <c r="V782" s="252" t="s">
        <v>233</v>
      </c>
      <c r="W782" s="254" t="str">
        <f>IFERROR(VLOOKUP(V782,TD!$N$34:$O$46,2,0)," ")</f>
        <v>Servicio de educación informal</v>
      </c>
      <c r="X782" s="296" t="str">
        <f>CONCATENATE(V782,"_",W782)</f>
        <v>002_Servicio de educación informal</v>
      </c>
      <c r="Y782" s="296" t="str">
        <f>CONCATENATE(U782," ",X782)</f>
        <v>05-Servicio de capacitaciones en gestión del riesgo de incendios  a la ciudadania. 002_Servicio de educación informal</v>
      </c>
      <c r="Z782" s="294" t="str">
        <f>CONCATENATE(P782,Q782,R782,S782,V782)</f>
        <v>O23011745032024025505002</v>
      </c>
      <c r="AA782" s="294" t="str">
        <f>IFERROR(VLOOKUP(Y782,TD!$K$47:$L$65,2,0)," ")</f>
        <v>PM/0131/0105/45030020255</v>
      </c>
      <c r="AB782" s="125" t="s">
        <v>138</v>
      </c>
      <c r="AC782" s="297" t="s">
        <v>205</v>
      </c>
    </row>
    <row r="783" spans="2:29" ht="42" x14ac:dyDescent="0.35">
      <c r="B783" s="137">
        <v>20250869</v>
      </c>
      <c r="C783" s="138" t="s">
        <v>209</v>
      </c>
      <c r="D783" s="292" t="s">
        <v>167</v>
      </c>
      <c r="E783" s="295" t="s">
        <v>505</v>
      </c>
      <c r="F783" s="292" t="s">
        <v>1035</v>
      </c>
      <c r="G783" s="292" t="s">
        <v>155</v>
      </c>
      <c r="H783" s="139">
        <v>80111600</v>
      </c>
      <c r="I783" s="293">
        <v>9</v>
      </c>
      <c r="J783" s="293">
        <v>3</v>
      </c>
      <c r="K783" s="140">
        <v>15</v>
      </c>
      <c r="L783" s="141">
        <v>24500000</v>
      </c>
      <c r="M783" s="159" t="s">
        <v>464</v>
      </c>
      <c r="N783" s="141" t="s">
        <v>113</v>
      </c>
      <c r="O783" s="252" t="s">
        <v>221</v>
      </c>
      <c r="P783" s="294" t="str">
        <f>IFERROR(VLOOKUP(C783,TD!$B$33:$F$37,2,0)," ")</f>
        <v>O230117</v>
      </c>
      <c r="Q783" s="294" t="str">
        <f>IFERROR(VLOOKUP(C783,TD!$B$33:$F$37,3,0)," ")</f>
        <v>4503</v>
      </c>
      <c r="R783" s="294">
        <f>IFERROR(VLOOKUP(C783,TD!$B$33:$F$37,4,0)," ")</f>
        <v>20240255</v>
      </c>
      <c r="S783" s="252" t="s">
        <v>181</v>
      </c>
      <c r="T783" s="254" t="str">
        <f>IFERROR(VLOOKUP(S783,TD!$J$34:$K$44,2,0)," ")</f>
        <v>Servicio de inspecciones técnicas realizadas</v>
      </c>
      <c r="U783" s="249" t="str">
        <f>CONCATENATE(S783,"-",T783)</f>
        <v>06-Servicio de inspecciones técnicas realizadas</v>
      </c>
      <c r="V783" s="252" t="s">
        <v>234</v>
      </c>
      <c r="W783" s="254" t="str">
        <f>IFERROR(VLOOKUP(V783,TD!$N$34:$O$46,2,0)," ")</f>
        <v>Servicio prevención y control de incendios</v>
      </c>
      <c r="X783" s="296" t="str">
        <f>CONCATENATE(V783,"_",W783)</f>
        <v>035_Servicio prevención y control de incendios</v>
      </c>
      <c r="Y783" s="296" t="str">
        <f>CONCATENATE(U783," ",X783)</f>
        <v>06-Servicio de inspecciones técnicas realizadas 035_Servicio prevención y control de incendios</v>
      </c>
      <c r="Z783" s="294" t="str">
        <f>CONCATENATE(P783,Q783,R783,S783,V783)</f>
        <v>O23011745032024025506035</v>
      </c>
      <c r="AA783" s="294" t="str">
        <f>IFERROR(VLOOKUP(Y783,TD!$K$47:$L$65,2,0)," ")</f>
        <v>PM/0131/0106/45030350255</v>
      </c>
      <c r="AB783" s="125" t="s">
        <v>138</v>
      </c>
      <c r="AC783" s="297" t="s">
        <v>205</v>
      </c>
    </row>
    <row r="784" spans="2:29" ht="42" x14ac:dyDescent="0.35">
      <c r="B784" s="137">
        <v>20250870</v>
      </c>
      <c r="C784" s="138" t="s">
        <v>209</v>
      </c>
      <c r="D784" s="292" t="s">
        <v>167</v>
      </c>
      <c r="E784" s="295" t="s">
        <v>505</v>
      </c>
      <c r="F784" s="292" t="s">
        <v>1036</v>
      </c>
      <c r="G784" s="292" t="s">
        <v>155</v>
      </c>
      <c r="H784" s="139">
        <v>80111600</v>
      </c>
      <c r="I784" s="293">
        <v>9</v>
      </c>
      <c r="J784" s="293">
        <v>3</v>
      </c>
      <c r="K784" s="140">
        <v>0</v>
      </c>
      <c r="L784" s="141">
        <v>21000000</v>
      </c>
      <c r="M784" s="159" t="s">
        <v>464</v>
      </c>
      <c r="N784" s="125" t="s">
        <v>113</v>
      </c>
      <c r="O784" s="252" t="s">
        <v>226</v>
      </c>
      <c r="P784" s="294" t="str">
        <f>IFERROR(VLOOKUP(C784,TD!$B$33:$F$37,2,0)," ")</f>
        <v>O230117</v>
      </c>
      <c r="Q784" s="294" t="str">
        <f>IFERROR(VLOOKUP(C784,TD!$B$33:$F$37,3,0)," ")</f>
        <v>4503</v>
      </c>
      <c r="R784" s="294">
        <f>IFERROR(VLOOKUP(C784,TD!$B$33:$F$37,4,0)," ")</f>
        <v>20240255</v>
      </c>
      <c r="S784" s="252" t="s">
        <v>179</v>
      </c>
      <c r="T784" s="254" t="str">
        <f>IFERROR(VLOOKUP(S784,TD!$J$34:$K$44,2,0)," ")</f>
        <v>Infraestructura Tecnológica   (Sistemas de Información y Tecnologia)</v>
      </c>
      <c r="U784" s="249" t="str">
        <f>CONCATENATE(S784,"-",T784)</f>
        <v>11-Infraestructura Tecnológica   (Sistemas de Información y Tecnologia)</v>
      </c>
      <c r="V784" s="252" t="s">
        <v>235</v>
      </c>
      <c r="W784" s="254" t="str">
        <f>IFERROR(VLOOKUP(V784,TD!$N$34:$O$46,2,0)," ")</f>
        <v>"Servicio de monitoreo y seguimiento para la gestión del riesgo"</v>
      </c>
      <c r="X784" s="296" t="str">
        <f>CONCATENATE(V784,"_",W784)</f>
        <v>018_"Servicio de monitoreo y seguimiento para la gestión del riesgo"</v>
      </c>
      <c r="Y784" s="296" t="str">
        <f>CONCATENATE(U784," ",X784)</f>
        <v>11-Infraestructura Tecnológica   (Sistemas de Información y Tecnologia) 018_"Servicio de monitoreo y seguimiento para la gestión del riesgo"</v>
      </c>
      <c r="Z784" s="294" t="str">
        <f>CONCATENATE(P784,Q784,R784,S784,V784)</f>
        <v>O23011745032024025511018</v>
      </c>
      <c r="AA784" s="294" t="str">
        <f>IFERROR(VLOOKUP(Y784,TD!$K$47:$L$65,2,0)," ")</f>
        <v>PM/0131/0111/45030180255</v>
      </c>
      <c r="AB784" s="125" t="s">
        <v>138</v>
      </c>
      <c r="AC784" s="297" t="s">
        <v>205</v>
      </c>
    </row>
    <row r="785" spans="2:29" ht="56" x14ac:dyDescent="0.35">
      <c r="B785" s="137">
        <v>20250871</v>
      </c>
      <c r="C785" s="138" t="s">
        <v>209</v>
      </c>
      <c r="D785" s="292" t="s">
        <v>167</v>
      </c>
      <c r="E785" s="295" t="s">
        <v>505</v>
      </c>
      <c r="F785" s="292" t="s">
        <v>1037</v>
      </c>
      <c r="G785" s="292" t="s">
        <v>119</v>
      </c>
      <c r="H785" s="139" t="s">
        <v>909</v>
      </c>
      <c r="I785" s="293">
        <v>8</v>
      </c>
      <c r="J785" s="293">
        <v>1</v>
      </c>
      <c r="K785" s="140">
        <v>0</v>
      </c>
      <c r="L785" s="141">
        <v>4116000</v>
      </c>
      <c r="M785" s="159" t="s">
        <v>464</v>
      </c>
      <c r="N785" s="125" t="s">
        <v>100</v>
      </c>
      <c r="O785" s="252" t="s">
        <v>221</v>
      </c>
      <c r="P785" s="294" t="str">
        <f>IFERROR(VLOOKUP(C785,TD!$B$33:$F$37,2,0)," ")</f>
        <v>O230117</v>
      </c>
      <c r="Q785" s="294" t="str">
        <f>IFERROR(VLOOKUP(C785,TD!$B$33:$F$37,3,0)," ")</f>
        <v>4503</v>
      </c>
      <c r="R785" s="294">
        <f>IFERROR(VLOOKUP(C785,TD!$B$33:$F$37,4,0)," ")</f>
        <v>20240255</v>
      </c>
      <c r="S785" s="252" t="s">
        <v>177</v>
      </c>
      <c r="T785" s="254" t="str">
        <f>IFERROR(VLOOKUP(S785,TD!$J$34:$K$44,2,0)," ")</f>
        <v>Servicio de capacitaciones en gestión del riesgo de incendios  a la ciudadania.</v>
      </c>
      <c r="U785" s="249" t="str">
        <f>CONCATENATE(S785,"-",T785)</f>
        <v>05-Servicio de capacitaciones en gestión del riesgo de incendios  a la ciudadania.</v>
      </c>
      <c r="V785" s="252" t="s">
        <v>233</v>
      </c>
      <c r="W785" s="254" t="str">
        <f>IFERROR(VLOOKUP(V785,TD!$N$34:$O$46,2,0)," ")</f>
        <v>Servicio de educación informal</v>
      </c>
      <c r="X785" s="296" t="str">
        <f>CONCATENATE(V785,"_",W785)</f>
        <v>002_Servicio de educación informal</v>
      </c>
      <c r="Y785" s="296" t="str">
        <f>CONCATENATE(U785," ",X785)</f>
        <v>05-Servicio de capacitaciones en gestión del riesgo de incendios  a la ciudadania. 002_Servicio de educación informal</v>
      </c>
      <c r="Z785" s="294" t="str">
        <f>CONCATENATE(P785,Q785,R785,S785,V785)</f>
        <v>O23011745032024025505002</v>
      </c>
      <c r="AA785" s="294" t="str">
        <f>IFERROR(VLOOKUP(Y785,TD!$K$47:$L$65,2,0)," ")</f>
        <v>PM/0131/0105/45030020255</v>
      </c>
      <c r="AB785" s="125" t="s">
        <v>138</v>
      </c>
      <c r="AC785" s="297" t="s">
        <v>205</v>
      </c>
    </row>
    <row r="786" spans="2:29" ht="56" x14ac:dyDescent="0.35">
      <c r="B786" s="137">
        <v>20250872</v>
      </c>
      <c r="C786" s="138" t="s">
        <v>209</v>
      </c>
      <c r="D786" s="292" t="s">
        <v>167</v>
      </c>
      <c r="E786" s="295" t="s">
        <v>505</v>
      </c>
      <c r="F786" s="292" t="s">
        <v>1038</v>
      </c>
      <c r="G786" s="292" t="s">
        <v>155</v>
      </c>
      <c r="H786" s="139">
        <v>80111600</v>
      </c>
      <c r="I786" s="293">
        <v>9</v>
      </c>
      <c r="J786" s="293">
        <v>3</v>
      </c>
      <c r="K786" s="140">
        <v>0</v>
      </c>
      <c r="L786" s="141">
        <v>16500000</v>
      </c>
      <c r="M786" s="159" t="s">
        <v>464</v>
      </c>
      <c r="N786" s="125" t="s">
        <v>113</v>
      </c>
      <c r="O786" s="252" t="s">
        <v>226</v>
      </c>
      <c r="P786" s="294" t="str">
        <f>IFERROR(VLOOKUP(C786,TD!$B$33:$F$37,2,0)," ")</f>
        <v>O230117</v>
      </c>
      <c r="Q786" s="294" t="str">
        <f>IFERROR(VLOOKUP(C786,TD!$B$33:$F$37,3,0)," ")</f>
        <v>4503</v>
      </c>
      <c r="R786" s="294">
        <f>IFERROR(VLOOKUP(C786,TD!$B$33:$F$37,4,0)," ")</f>
        <v>20240255</v>
      </c>
      <c r="S786" s="252" t="s">
        <v>179</v>
      </c>
      <c r="T786" s="254" t="str">
        <f>IFERROR(VLOOKUP(S786,TD!$J$34:$K$44,2,0)," ")</f>
        <v>Infraestructura Tecnológica   (Sistemas de Información y Tecnologia)</v>
      </c>
      <c r="U786" s="249" t="str">
        <f>CONCATENATE(S786,"-",T786)</f>
        <v>11-Infraestructura Tecnológica   (Sistemas de Información y Tecnologia)</v>
      </c>
      <c r="V786" s="252" t="s">
        <v>235</v>
      </c>
      <c r="W786" s="254" t="str">
        <f>IFERROR(VLOOKUP(V786,TD!$N$34:$O$46,2,0)," ")</f>
        <v>"Servicio de monitoreo y seguimiento para la gestión del riesgo"</v>
      </c>
      <c r="X786" s="296" t="str">
        <f>CONCATENATE(V786,"_",W786)</f>
        <v>018_"Servicio de monitoreo y seguimiento para la gestión del riesgo"</v>
      </c>
      <c r="Y786" s="296" t="str">
        <f>CONCATENATE(U786," ",X786)</f>
        <v>11-Infraestructura Tecnológica   (Sistemas de Información y Tecnologia) 018_"Servicio de monitoreo y seguimiento para la gestión del riesgo"</v>
      </c>
      <c r="Z786" s="294" t="str">
        <f>CONCATENATE(P786,Q786,R786,S786,V786)</f>
        <v>O23011745032024025511018</v>
      </c>
      <c r="AA786" s="294" t="str">
        <f>IFERROR(VLOOKUP(Y786,TD!$K$47:$L$65,2,0)," ")</f>
        <v>PM/0131/0111/45030180255</v>
      </c>
      <c r="AB786" s="125" t="s">
        <v>138</v>
      </c>
      <c r="AC786" s="297" t="s">
        <v>205</v>
      </c>
    </row>
    <row r="787" spans="2:29" ht="56" x14ac:dyDescent="0.35">
      <c r="B787" s="137">
        <v>20250873</v>
      </c>
      <c r="C787" s="138" t="s">
        <v>209</v>
      </c>
      <c r="D787" s="292" t="s">
        <v>167</v>
      </c>
      <c r="E787" s="295" t="s">
        <v>505</v>
      </c>
      <c r="F787" s="292" t="s">
        <v>1039</v>
      </c>
      <c r="G787" s="292" t="s">
        <v>119</v>
      </c>
      <c r="H787" s="139" t="s">
        <v>1045</v>
      </c>
      <c r="I787" s="293">
        <v>8</v>
      </c>
      <c r="J787" s="293">
        <v>1</v>
      </c>
      <c r="K787" s="140">
        <v>0</v>
      </c>
      <c r="L787" s="141">
        <v>5798860</v>
      </c>
      <c r="M787" s="159" t="s">
        <v>464</v>
      </c>
      <c r="N787" s="125" t="s">
        <v>100</v>
      </c>
      <c r="O787" s="252" t="s">
        <v>221</v>
      </c>
      <c r="P787" s="294" t="str">
        <f>IFERROR(VLOOKUP(C787,TD!$B$33:$F$37,2,0)," ")</f>
        <v>O230117</v>
      </c>
      <c r="Q787" s="294" t="str">
        <f>IFERROR(VLOOKUP(C787,TD!$B$33:$F$37,3,0)," ")</f>
        <v>4503</v>
      </c>
      <c r="R787" s="294">
        <f>IFERROR(VLOOKUP(C787,TD!$B$33:$F$37,4,0)," ")</f>
        <v>20240255</v>
      </c>
      <c r="S787" s="252" t="s">
        <v>177</v>
      </c>
      <c r="T787" s="254" t="str">
        <f>IFERROR(VLOOKUP(S787,TD!$J$34:$K$44,2,0)," ")</f>
        <v>Servicio de capacitaciones en gestión del riesgo de incendios  a la ciudadania.</v>
      </c>
      <c r="U787" s="249" t="str">
        <f>CONCATENATE(S787,"-",T787)</f>
        <v>05-Servicio de capacitaciones en gestión del riesgo de incendios  a la ciudadania.</v>
      </c>
      <c r="V787" s="252" t="s">
        <v>234</v>
      </c>
      <c r="W787" s="254" t="str">
        <f>IFERROR(VLOOKUP(V787,TD!$N$34:$O$46,2,0)," ")</f>
        <v>Servicio prevención y control de incendios</v>
      </c>
      <c r="X787" s="296" t="str">
        <f>CONCATENATE(V787,"_",W787)</f>
        <v>035_Servicio prevención y control de incendios</v>
      </c>
      <c r="Y787" s="296" t="str">
        <f>CONCATENATE(U787," ",X787)</f>
        <v>05-Servicio de capacitaciones en gestión del riesgo de incendios  a la ciudadania. 035_Servicio prevención y control de incendios</v>
      </c>
      <c r="Z787" s="294" t="str">
        <f>CONCATENATE(P787,Q787,R787,S787,V787)</f>
        <v>O23011745032024025505035</v>
      </c>
      <c r="AA787" s="294" t="str">
        <f>IFERROR(VLOOKUP(Y787,TD!$K$47:$L$65,2,0)," ")</f>
        <v>PM/0131/0105/45030350255</v>
      </c>
      <c r="AB787" s="125" t="s">
        <v>138</v>
      </c>
      <c r="AC787" s="297" t="s">
        <v>205</v>
      </c>
    </row>
    <row r="788" spans="2:29" ht="70" x14ac:dyDescent="0.35">
      <c r="B788" s="137">
        <v>20250874</v>
      </c>
      <c r="C788" s="138" t="s">
        <v>209</v>
      </c>
      <c r="D788" s="292" t="s">
        <v>167</v>
      </c>
      <c r="E788" s="295" t="s">
        <v>505</v>
      </c>
      <c r="F788" s="292" t="s">
        <v>1040</v>
      </c>
      <c r="G788" s="292" t="s">
        <v>155</v>
      </c>
      <c r="H788" s="139">
        <v>80111600</v>
      </c>
      <c r="I788" s="293">
        <v>9</v>
      </c>
      <c r="J788" s="293">
        <v>3</v>
      </c>
      <c r="K788" s="140">
        <v>0</v>
      </c>
      <c r="L788" s="141">
        <v>15000000</v>
      </c>
      <c r="M788" s="159" t="s">
        <v>464</v>
      </c>
      <c r="N788" s="125" t="s">
        <v>113</v>
      </c>
      <c r="O788" s="252" t="s">
        <v>226</v>
      </c>
      <c r="P788" s="294" t="str">
        <f>IFERROR(VLOOKUP(C788,TD!$B$33:$F$37,2,0)," ")</f>
        <v>O230117</v>
      </c>
      <c r="Q788" s="294" t="str">
        <f>IFERROR(VLOOKUP(C788,TD!$B$33:$F$37,3,0)," ")</f>
        <v>4503</v>
      </c>
      <c r="R788" s="294">
        <f>IFERROR(VLOOKUP(C788,TD!$B$33:$F$37,4,0)," ")</f>
        <v>20240255</v>
      </c>
      <c r="S788" s="252" t="s">
        <v>179</v>
      </c>
      <c r="T788" s="254" t="str">
        <f>IFERROR(VLOOKUP(S788,TD!$J$34:$K$44,2,0)," ")</f>
        <v>Infraestructura Tecnológica   (Sistemas de Información y Tecnologia)</v>
      </c>
      <c r="U788" s="249" t="str">
        <f>CONCATENATE(S788,"-",T788)</f>
        <v>11-Infraestructura Tecnológica   (Sistemas de Información y Tecnologia)</v>
      </c>
      <c r="V788" s="252" t="s">
        <v>235</v>
      </c>
      <c r="W788" s="254" t="str">
        <f>IFERROR(VLOOKUP(V788,TD!$N$34:$O$46,2,0)," ")</f>
        <v>"Servicio de monitoreo y seguimiento para la gestión del riesgo"</v>
      </c>
      <c r="X788" s="296" t="str">
        <f>CONCATENATE(V788,"_",W788)</f>
        <v>018_"Servicio de monitoreo y seguimiento para la gestión del riesgo"</v>
      </c>
      <c r="Y788" s="296" t="str">
        <f>CONCATENATE(U788," ",X788)</f>
        <v>11-Infraestructura Tecnológica   (Sistemas de Información y Tecnologia) 018_"Servicio de monitoreo y seguimiento para la gestión del riesgo"</v>
      </c>
      <c r="Z788" s="294" t="str">
        <f>CONCATENATE(P788,Q788,R788,S788,V788)</f>
        <v>O23011745032024025511018</v>
      </c>
      <c r="AA788" s="294" t="str">
        <f>IFERROR(VLOOKUP(Y788,TD!$K$47:$L$65,2,0)," ")</f>
        <v>PM/0131/0111/45030180255</v>
      </c>
      <c r="AB788" s="125" t="s">
        <v>138</v>
      </c>
      <c r="AC788" s="297" t="s">
        <v>205</v>
      </c>
    </row>
    <row r="789" spans="2:29" s="107" customFormat="1" ht="70" x14ac:dyDescent="0.35">
      <c r="B789" s="137">
        <v>20250875</v>
      </c>
      <c r="C789" s="138" t="s">
        <v>209</v>
      </c>
      <c r="D789" s="292" t="s">
        <v>167</v>
      </c>
      <c r="E789" s="295" t="s">
        <v>505</v>
      </c>
      <c r="F789" s="292" t="s">
        <v>1041</v>
      </c>
      <c r="G789" s="292" t="s">
        <v>155</v>
      </c>
      <c r="H789" s="139">
        <v>80111600</v>
      </c>
      <c r="I789" s="293">
        <v>9</v>
      </c>
      <c r="J789" s="293">
        <v>4</v>
      </c>
      <c r="K789" s="140">
        <v>0</v>
      </c>
      <c r="L789" s="141">
        <v>31850000</v>
      </c>
      <c r="M789" s="158" t="s">
        <v>464</v>
      </c>
      <c r="N789" s="141" t="s">
        <v>113</v>
      </c>
      <c r="O789" s="252" t="s">
        <v>226</v>
      </c>
      <c r="P789" s="294" t="str">
        <f>IFERROR(VLOOKUP(C789,TD!$B$33:$F$37,2,0)," ")</f>
        <v>O230117</v>
      </c>
      <c r="Q789" s="294" t="str">
        <f>IFERROR(VLOOKUP(C789,TD!$B$33:$F$37,3,0)," ")</f>
        <v>4503</v>
      </c>
      <c r="R789" s="294">
        <f>IFERROR(VLOOKUP(C789,TD!$B$33:$F$37,4,0)," ")</f>
        <v>20240255</v>
      </c>
      <c r="S789" s="252" t="s">
        <v>179</v>
      </c>
      <c r="T789" s="254" t="str">
        <f>IFERROR(VLOOKUP(S789,TD!$J$34:$K$44,2,0)," ")</f>
        <v>Infraestructura Tecnológica   (Sistemas de Información y Tecnologia)</v>
      </c>
      <c r="U789" s="249" t="str">
        <f>CONCATENATE(S789,"-",T789)</f>
        <v>11-Infraestructura Tecnológica   (Sistemas de Información y Tecnologia)</v>
      </c>
      <c r="V789" s="252" t="s">
        <v>235</v>
      </c>
      <c r="W789" s="254" t="str">
        <f>IFERROR(VLOOKUP(V789,TD!$N$34:$O$46,2,0)," ")</f>
        <v>"Servicio de monitoreo y seguimiento para la gestión del riesgo"</v>
      </c>
      <c r="X789" s="296" t="str">
        <f>CONCATENATE(V789,"_",W789)</f>
        <v>018_"Servicio de monitoreo y seguimiento para la gestión del riesgo"</v>
      </c>
      <c r="Y789" s="296" t="str">
        <f>CONCATENATE(U789," ",X789)</f>
        <v>11-Infraestructura Tecnológica   (Sistemas de Información y Tecnologia) 018_"Servicio de monitoreo y seguimiento para la gestión del riesgo"</v>
      </c>
      <c r="Z789" s="294" t="str">
        <f>CONCATENATE(P789,Q789,R789,S789,V789)</f>
        <v>O23011745032024025511018</v>
      </c>
      <c r="AA789" s="294" t="str">
        <f>IFERROR(VLOOKUP(Y789,TD!$K$47:$L$65,2,0)," ")</f>
        <v>PM/0131/0111/45030180255</v>
      </c>
      <c r="AB789" s="141" t="s">
        <v>138</v>
      </c>
      <c r="AC789" s="297" t="s">
        <v>205</v>
      </c>
    </row>
    <row r="790" spans="2:29" ht="84" x14ac:dyDescent="0.35">
      <c r="B790" s="137">
        <v>20250876</v>
      </c>
      <c r="C790" s="138" t="s">
        <v>209</v>
      </c>
      <c r="D790" s="292" t="s">
        <v>167</v>
      </c>
      <c r="E790" s="295" t="s">
        <v>505</v>
      </c>
      <c r="F790" s="292" t="s">
        <v>1042</v>
      </c>
      <c r="G790" s="292" t="s">
        <v>155</v>
      </c>
      <c r="H790" s="139">
        <v>80111600</v>
      </c>
      <c r="I790" s="293">
        <v>9</v>
      </c>
      <c r="J790" s="293">
        <v>3</v>
      </c>
      <c r="K790" s="140">
        <v>0</v>
      </c>
      <c r="L790" s="141">
        <v>15000000</v>
      </c>
      <c r="M790" s="158" t="s">
        <v>464</v>
      </c>
      <c r="N790" s="141" t="s">
        <v>113</v>
      </c>
      <c r="O790" s="252" t="s">
        <v>221</v>
      </c>
      <c r="P790" s="294" t="str">
        <f>IFERROR(VLOOKUP(C790,TD!$B$33:$F$37,2,0)," ")</f>
        <v>O230117</v>
      </c>
      <c r="Q790" s="294" t="str">
        <f>IFERROR(VLOOKUP(C790,TD!$B$33:$F$37,3,0)," ")</f>
        <v>4503</v>
      </c>
      <c r="R790" s="294">
        <f>IFERROR(VLOOKUP(C790,TD!$B$33:$F$37,4,0)," ")</f>
        <v>20240255</v>
      </c>
      <c r="S790" s="252" t="s">
        <v>181</v>
      </c>
      <c r="T790" s="254" t="str">
        <f>IFERROR(VLOOKUP(S790,TD!$J$34:$K$44,2,0)," ")</f>
        <v>Servicio de inspecciones técnicas realizadas</v>
      </c>
      <c r="U790" s="249" t="str">
        <f>CONCATENATE(S790,"-",T790)</f>
        <v>06-Servicio de inspecciones técnicas realizadas</v>
      </c>
      <c r="V790" s="252" t="s">
        <v>234</v>
      </c>
      <c r="W790" s="254" t="str">
        <f>IFERROR(VLOOKUP(V790,TD!$N$34:$O$46,2,0)," ")</f>
        <v>Servicio prevención y control de incendios</v>
      </c>
      <c r="X790" s="296" t="str">
        <f>CONCATENATE(V790,"_",W790)</f>
        <v>035_Servicio prevención y control de incendios</v>
      </c>
      <c r="Y790" s="296" t="str">
        <f>CONCATENATE(U790," ",X790)</f>
        <v>06-Servicio de inspecciones técnicas realizadas 035_Servicio prevención y control de incendios</v>
      </c>
      <c r="Z790" s="294" t="str">
        <f>CONCATENATE(P790,Q790,R790,S790,V790)</f>
        <v>O23011745032024025506035</v>
      </c>
      <c r="AA790" s="294" t="str">
        <f>IFERROR(VLOOKUP(Y790,TD!$K$47:$L$65,2,0)," ")</f>
        <v>PM/0131/0106/45030350255</v>
      </c>
      <c r="AB790" s="141" t="s">
        <v>138</v>
      </c>
      <c r="AC790" s="297" t="s">
        <v>205</v>
      </c>
    </row>
    <row r="791" spans="2:29" ht="70" x14ac:dyDescent="0.35">
      <c r="B791" s="137">
        <v>20250877</v>
      </c>
      <c r="C791" s="138" t="s">
        <v>209</v>
      </c>
      <c r="D791" s="292" t="s">
        <v>167</v>
      </c>
      <c r="E791" s="295" t="s">
        <v>505</v>
      </c>
      <c r="F791" s="292" t="s">
        <v>1043</v>
      </c>
      <c r="G791" s="292" t="s">
        <v>155</v>
      </c>
      <c r="H791" s="139">
        <v>80111600</v>
      </c>
      <c r="I791" s="293">
        <v>9</v>
      </c>
      <c r="J791" s="293">
        <v>3</v>
      </c>
      <c r="K791" s="140">
        <v>0</v>
      </c>
      <c r="L791" s="141">
        <v>15000000</v>
      </c>
      <c r="M791" s="158" t="s">
        <v>464</v>
      </c>
      <c r="N791" s="141" t="s">
        <v>113</v>
      </c>
      <c r="O791" s="252" t="s">
        <v>221</v>
      </c>
      <c r="P791" s="294" t="str">
        <f>IFERROR(VLOOKUP(C791,TD!$B$33:$F$37,2,0)," ")</f>
        <v>O230117</v>
      </c>
      <c r="Q791" s="294" t="str">
        <f>IFERROR(VLOOKUP(C791,TD!$B$33:$F$37,3,0)," ")</f>
        <v>4503</v>
      </c>
      <c r="R791" s="294">
        <f>IFERROR(VLOOKUP(C791,TD!$B$33:$F$37,4,0)," ")</f>
        <v>20240255</v>
      </c>
      <c r="S791" s="252" t="s">
        <v>181</v>
      </c>
      <c r="T791" s="254" t="str">
        <f>IFERROR(VLOOKUP(S791,TD!$J$34:$K$44,2,0)," ")</f>
        <v>Servicio de inspecciones técnicas realizadas</v>
      </c>
      <c r="U791" s="249" t="str">
        <f>CONCATENATE(S791,"-",T791)</f>
        <v>06-Servicio de inspecciones técnicas realizadas</v>
      </c>
      <c r="V791" s="252" t="s">
        <v>234</v>
      </c>
      <c r="W791" s="254" t="str">
        <f>IFERROR(VLOOKUP(V791,TD!$N$34:$O$46,2,0)," ")</f>
        <v>Servicio prevención y control de incendios</v>
      </c>
      <c r="X791" s="296" t="str">
        <f>CONCATENATE(V791,"_",W791)</f>
        <v>035_Servicio prevención y control de incendios</v>
      </c>
      <c r="Y791" s="296" t="str">
        <f>CONCATENATE(U791," ",X791)</f>
        <v>06-Servicio de inspecciones técnicas realizadas 035_Servicio prevención y control de incendios</v>
      </c>
      <c r="Z791" s="294" t="str">
        <f>CONCATENATE(P791,Q791,R791,S791,V791)</f>
        <v>O23011745032024025506035</v>
      </c>
      <c r="AA791" s="294" t="str">
        <f>IFERROR(VLOOKUP(Y791,TD!$K$47:$L$65,2,0)," ")</f>
        <v>PM/0131/0106/45030350255</v>
      </c>
      <c r="AB791" s="141" t="s">
        <v>138</v>
      </c>
      <c r="AC791" s="297" t="s">
        <v>205</v>
      </c>
    </row>
    <row r="792" spans="2:29" ht="84" x14ac:dyDescent="0.35">
      <c r="B792" s="137">
        <v>20250878</v>
      </c>
      <c r="C792" s="138" t="s">
        <v>209</v>
      </c>
      <c r="D792" s="292" t="s">
        <v>167</v>
      </c>
      <c r="E792" s="295" t="s">
        <v>505</v>
      </c>
      <c r="F792" s="292" t="s">
        <v>1044</v>
      </c>
      <c r="G792" s="292" t="s">
        <v>155</v>
      </c>
      <c r="H792" s="139">
        <v>80111600</v>
      </c>
      <c r="I792" s="293">
        <v>9</v>
      </c>
      <c r="J792" s="293">
        <v>3</v>
      </c>
      <c r="K792" s="140">
        <v>0</v>
      </c>
      <c r="L792" s="141">
        <v>15000000</v>
      </c>
      <c r="M792" s="158" t="s">
        <v>464</v>
      </c>
      <c r="N792" s="141" t="s">
        <v>113</v>
      </c>
      <c r="O792" s="252" t="s">
        <v>221</v>
      </c>
      <c r="P792" s="294" t="str">
        <f>IFERROR(VLOOKUP(C792,TD!$B$33:$F$37,2,0)," ")</f>
        <v>O230117</v>
      </c>
      <c r="Q792" s="294" t="str">
        <f>IFERROR(VLOOKUP(C792,TD!$B$33:$F$37,3,0)," ")</f>
        <v>4503</v>
      </c>
      <c r="R792" s="294">
        <f>IFERROR(VLOOKUP(C792,TD!$B$33:$F$37,4,0)," ")</f>
        <v>20240255</v>
      </c>
      <c r="S792" s="252" t="s">
        <v>177</v>
      </c>
      <c r="T792" s="254" t="str">
        <f>IFERROR(VLOOKUP(S792,TD!$J$34:$K$44,2,0)," ")</f>
        <v>Servicio de capacitaciones en gestión del riesgo de incendios  a la ciudadania.</v>
      </c>
      <c r="U792" s="249" t="str">
        <f>CONCATENATE(S792,"-",T792)</f>
        <v>05-Servicio de capacitaciones en gestión del riesgo de incendios  a la ciudadania.</v>
      </c>
      <c r="V792" s="252" t="s">
        <v>234</v>
      </c>
      <c r="W792" s="254" t="str">
        <f>IFERROR(VLOOKUP(V792,TD!$N$34:$O$46,2,0)," ")</f>
        <v>Servicio prevención y control de incendios</v>
      </c>
      <c r="X792" s="296" t="str">
        <f>CONCATENATE(V792,"_",W792)</f>
        <v>035_Servicio prevención y control de incendios</v>
      </c>
      <c r="Y792" s="296" t="str">
        <f>CONCATENATE(U792," ",X792)</f>
        <v>05-Servicio de capacitaciones en gestión del riesgo de incendios  a la ciudadania. 035_Servicio prevención y control de incendios</v>
      </c>
      <c r="Z792" s="294" t="str">
        <f>CONCATENATE(P792,Q792,R792,S792,V792)</f>
        <v>O23011745032024025505035</v>
      </c>
      <c r="AA792" s="294" t="str">
        <f>IFERROR(VLOOKUP(Y792,TD!$K$47:$L$65,2,0)," ")</f>
        <v>PM/0131/0105/45030350255</v>
      </c>
      <c r="AB792" s="141" t="s">
        <v>138</v>
      </c>
      <c r="AC792" s="297" t="s">
        <v>205</v>
      </c>
    </row>
    <row r="793" spans="2:29" ht="84" x14ac:dyDescent="0.35">
      <c r="B793" s="132">
        <v>20250879</v>
      </c>
      <c r="C793" s="133" t="s">
        <v>209</v>
      </c>
      <c r="D793" s="298" t="s">
        <v>169</v>
      </c>
      <c r="E793" s="302" t="s">
        <v>465</v>
      </c>
      <c r="F793" s="298" t="s">
        <v>1118</v>
      </c>
      <c r="G793" s="298" t="s">
        <v>156</v>
      </c>
      <c r="H793" s="134">
        <v>80111600</v>
      </c>
      <c r="I793" s="299">
        <v>9</v>
      </c>
      <c r="J793" s="299">
        <v>3</v>
      </c>
      <c r="K793" s="135">
        <v>15</v>
      </c>
      <c r="L793" s="131">
        <v>10150000</v>
      </c>
      <c r="M793" s="142" t="s">
        <v>464</v>
      </c>
      <c r="N793" s="131" t="s">
        <v>113</v>
      </c>
      <c r="O793" s="51" t="s">
        <v>222</v>
      </c>
      <c r="P793" s="300" t="str">
        <f>IFERROR(VLOOKUP(C793,TD!$B$33:$F$37,2,0)," ")</f>
        <v>O230117</v>
      </c>
      <c r="Q793" s="300" t="str">
        <f>IFERROR(VLOOKUP(C793,TD!$B$33:$F$37,3,0)," ")</f>
        <v>4503</v>
      </c>
      <c r="R793" s="300">
        <f>IFERROR(VLOOKUP(C793,TD!$B$33:$F$37,4,0)," ")</f>
        <v>20240255</v>
      </c>
      <c r="S793" s="51" t="s">
        <v>175</v>
      </c>
      <c r="T793" s="248" t="str">
        <f>IFERROR(VLOOKUP(S793,TD!$J$34:$K$44,2,0)," ")</f>
        <v>Servicio de atención a incidentes y emergencias.</v>
      </c>
      <c r="U793" s="249" t="str">
        <f>CONCATENATE(S793,"-",T793)</f>
        <v>04-Servicio de atención a incidentes y emergencias.</v>
      </c>
      <c r="V793" s="51" t="s">
        <v>232</v>
      </c>
      <c r="W793" s="248" t="str">
        <f>IFERROR(VLOOKUP(V793,TD!$N$34:$O$46,2,0)," ")</f>
        <v>Servicio de atención a emergencias y desastres</v>
      </c>
      <c r="X793" s="296" t="str">
        <f>CONCATENATE(V793,"_",W793)</f>
        <v>004_Servicio de atención a emergencias y desastres</v>
      </c>
      <c r="Y793" s="296" t="str">
        <f>CONCATENATE(U793," ",X793)</f>
        <v>04-Servicio de atención a incidentes y emergencias. 004_Servicio de atención a emergencias y desastres</v>
      </c>
      <c r="Z793" s="300" t="str">
        <f>CONCATENATE(P793,Q793,R793,S793,V793)</f>
        <v>O23011745032024025504004</v>
      </c>
      <c r="AA793" s="300" t="str">
        <f>IFERROR(VLOOKUP(Y793,TD!$K$47:$L$65,2,0)," ")</f>
        <v>PM/0131/0104/45030040255</v>
      </c>
      <c r="AB793" s="131" t="s">
        <v>138</v>
      </c>
      <c r="AC793" s="301" t="s">
        <v>204</v>
      </c>
    </row>
    <row r="794" spans="2:29" ht="98" x14ac:dyDescent="0.35">
      <c r="B794" s="132">
        <v>20250880</v>
      </c>
      <c r="C794" s="133" t="s">
        <v>209</v>
      </c>
      <c r="D794" s="298" t="s">
        <v>169</v>
      </c>
      <c r="E794" s="302" t="s">
        <v>465</v>
      </c>
      <c r="F794" s="298" t="s">
        <v>1118</v>
      </c>
      <c r="G794" s="298" t="s">
        <v>156</v>
      </c>
      <c r="H794" s="134">
        <v>80111600</v>
      </c>
      <c r="I794" s="299">
        <v>9</v>
      </c>
      <c r="J794" s="299">
        <v>3</v>
      </c>
      <c r="K794" s="135">
        <v>15</v>
      </c>
      <c r="L794" s="131">
        <v>10150000</v>
      </c>
      <c r="M794" s="142" t="s">
        <v>464</v>
      </c>
      <c r="N794" s="131" t="s">
        <v>113</v>
      </c>
      <c r="O794" s="51" t="s">
        <v>222</v>
      </c>
      <c r="P794" s="300" t="str">
        <f>IFERROR(VLOOKUP(C794,TD!$B$33:$F$37,2,0)," ")</f>
        <v>O230117</v>
      </c>
      <c r="Q794" s="300" t="str">
        <f>IFERROR(VLOOKUP(C794,TD!$B$33:$F$37,3,0)," ")</f>
        <v>4503</v>
      </c>
      <c r="R794" s="300">
        <f>IFERROR(VLOOKUP(C794,TD!$B$33:$F$37,4,0)," ")</f>
        <v>20240255</v>
      </c>
      <c r="S794" s="51" t="s">
        <v>175</v>
      </c>
      <c r="T794" s="248" t="str">
        <f>IFERROR(VLOOKUP(S794,TD!$J$34:$K$44,2,0)," ")</f>
        <v>Servicio de atención a incidentes y emergencias.</v>
      </c>
      <c r="U794" s="249" t="str">
        <f>CONCATENATE(S794,"-",T794)</f>
        <v>04-Servicio de atención a incidentes y emergencias.</v>
      </c>
      <c r="V794" s="51" t="s">
        <v>232</v>
      </c>
      <c r="W794" s="248" t="str">
        <f>IFERROR(VLOOKUP(V794,TD!$N$34:$O$46,2,0)," ")</f>
        <v>Servicio de atención a emergencias y desastres</v>
      </c>
      <c r="X794" s="296" t="str">
        <f>CONCATENATE(V794,"_",W794)</f>
        <v>004_Servicio de atención a emergencias y desastres</v>
      </c>
      <c r="Y794" s="296" t="str">
        <f>CONCATENATE(U794," ",X794)</f>
        <v>04-Servicio de atención a incidentes y emergencias. 004_Servicio de atención a emergencias y desastres</v>
      </c>
      <c r="Z794" s="300" t="str">
        <f>CONCATENATE(P794,Q794,R794,S794,V794)</f>
        <v>O23011745032024025504004</v>
      </c>
      <c r="AA794" s="300" t="str">
        <f>IFERROR(VLOOKUP(Y794,TD!$K$47:$L$65,2,0)," ")</f>
        <v>PM/0131/0104/45030040255</v>
      </c>
      <c r="AB794" s="131" t="s">
        <v>138</v>
      </c>
      <c r="AC794" s="301" t="s">
        <v>204</v>
      </c>
    </row>
    <row r="795" spans="2:29" ht="56" x14ac:dyDescent="0.35">
      <c r="B795" s="132">
        <v>20250881</v>
      </c>
      <c r="C795" s="133" t="s">
        <v>209</v>
      </c>
      <c r="D795" s="298" t="s">
        <v>169</v>
      </c>
      <c r="E795" s="302" t="s">
        <v>465</v>
      </c>
      <c r="F795" s="298" t="s">
        <v>1119</v>
      </c>
      <c r="G795" s="298" t="s">
        <v>156</v>
      </c>
      <c r="H795" s="134">
        <v>80111600</v>
      </c>
      <c r="I795" s="299">
        <v>9</v>
      </c>
      <c r="J795" s="299">
        <v>3</v>
      </c>
      <c r="K795" s="135">
        <v>15</v>
      </c>
      <c r="L795" s="131">
        <v>10500000</v>
      </c>
      <c r="M795" s="142" t="s">
        <v>464</v>
      </c>
      <c r="N795" s="131" t="s">
        <v>113</v>
      </c>
      <c r="O795" s="51" t="s">
        <v>222</v>
      </c>
      <c r="P795" s="300" t="str">
        <f>IFERROR(VLOOKUP(C795,TD!$B$33:$F$37,2,0)," ")</f>
        <v>O230117</v>
      </c>
      <c r="Q795" s="300" t="str">
        <f>IFERROR(VLOOKUP(C795,TD!$B$33:$F$37,3,0)," ")</f>
        <v>4503</v>
      </c>
      <c r="R795" s="300">
        <f>IFERROR(VLOOKUP(C795,TD!$B$33:$F$37,4,0)," ")</f>
        <v>20240255</v>
      </c>
      <c r="S795" s="51" t="s">
        <v>175</v>
      </c>
      <c r="T795" s="248" t="str">
        <f>IFERROR(VLOOKUP(S795,TD!$J$34:$K$44,2,0)," ")</f>
        <v>Servicio de atención a incidentes y emergencias.</v>
      </c>
      <c r="U795" s="249" t="str">
        <f>CONCATENATE(S795,"-",T795)</f>
        <v>04-Servicio de atención a incidentes y emergencias.</v>
      </c>
      <c r="V795" s="51" t="s">
        <v>232</v>
      </c>
      <c r="W795" s="248" t="str">
        <f>IFERROR(VLOOKUP(V795,TD!$N$34:$O$46,2,0)," ")</f>
        <v>Servicio de atención a emergencias y desastres</v>
      </c>
      <c r="X795" s="296" t="str">
        <f>CONCATENATE(V795,"_",W795)</f>
        <v>004_Servicio de atención a emergencias y desastres</v>
      </c>
      <c r="Y795" s="296" t="str">
        <f>CONCATENATE(U795," ",X795)</f>
        <v>04-Servicio de atención a incidentes y emergencias. 004_Servicio de atención a emergencias y desastres</v>
      </c>
      <c r="Z795" s="300" t="str">
        <f>CONCATENATE(P795,Q795,R795,S795,V795)</f>
        <v>O23011745032024025504004</v>
      </c>
      <c r="AA795" s="300" t="str">
        <f>IFERROR(VLOOKUP(Y795,TD!$K$47:$L$65,2,0)," ")</f>
        <v>PM/0131/0104/45030040255</v>
      </c>
      <c r="AB795" s="131" t="s">
        <v>138</v>
      </c>
      <c r="AC795" s="301" t="s">
        <v>204</v>
      </c>
    </row>
    <row r="796" spans="2:29" ht="56" x14ac:dyDescent="0.35">
      <c r="B796" s="132">
        <v>20250882</v>
      </c>
      <c r="C796" s="133" t="s">
        <v>209</v>
      </c>
      <c r="D796" s="298" t="s">
        <v>169</v>
      </c>
      <c r="E796" s="302" t="s">
        <v>465</v>
      </c>
      <c r="F796" s="298" t="s">
        <v>1118</v>
      </c>
      <c r="G796" s="298" t="s">
        <v>156</v>
      </c>
      <c r="H796" s="134">
        <v>80111600</v>
      </c>
      <c r="I796" s="299">
        <v>9</v>
      </c>
      <c r="J796" s="299">
        <v>3</v>
      </c>
      <c r="K796" s="135">
        <v>0</v>
      </c>
      <c r="L796" s="131">
        <v>8700000</v>
      </c>
      <c r="M796" s="142" t="s">
        <v>464</v>
      </c>
      <c r="N796" s="131" t="s">
        <v>113</v>
      </c>
      <c r="O796" s="51" t="s">
        <v>222</v>
      </c>
      <c r="P796" s="300" t="str">
        <f>IFERROR(VLOOKUP(C796,TD!$B$33:$F$37,2,0)," ")</f>
        <v>O230117</v>
      </c>
      <c r="Q796" s="300" t="str">
        <f>IFERROR(VLOOKUP(C796,TD!$B$33:$F$37,3,0)," ")</f>
        <v>4503</v>
      </c>
      <c r="R796" s="300">
        <f>IFERROR(VLOOKUP(C796,TD!$B$33:$F$37,4,0)," ")</f>
        <v>20240255</v>
      </c>
      <c r="S796" s="51" t="s">
        <v>175</v>
      </c>
      <c r="T796" s="248" t="str">
        <f>IFERROR(VLOOKUP(S796,TD!$J$34:$K$44,2,0)," ")</f>
        <v>Servicio de atención a incidentes y emergencias.</v>
      </c>
      <c r="U796" s="249" t="str">
        <f>CONCATENATE(S796,"-",T796)</f>
        <v>04-Servicio de atención a incidentes y emergencias.</v>
      </c>
      <c r="V796" s="51" t="s">
        <v>232</v>
      </c>
      <c r="W796" s="248" t="str">
        <f>IFERROR(VLOOKUP(V796,TD!$N$34:$O$46,2,0)," ")</f>
        <v>Servicio de atención a emergencias y desastres</v>
      </c>
      <c r="X796" s="296" t="str">
        <f>CONCATENATE(V796,"_",W796)</f>
        <v>004_Servicio de atención a emergencias y desastres</v>
      </c>
      <c r="Y796" s="296" t="str">
        <f>CONCATENATE(U796," ",X796)</f>
        <v>04-Servicio de atención a incidentes y emergencias. 004_Servicio de atención a emergencias y desastres</v>
      </c>
      <c r="Z796" s="300" t="str">
        <f>CONCATENATE(P796,Q796,R796,S796,V796)</f>
        <v>O23011745032024025504004</v>
      </c>
      <c r="AA796" s="300" t="str">
        <f>IFERROR(VLOOKUP(Y796,TD!$K$47:$L$65,2,0)," ")</f>
        <v>PM/0131/0104/45030040255</v>
      </c>
      <c r="AB796" s="131" t="s">
        <v>138</v>
      </c>
      <c r="AC796" s="301" t="s">
        <v>204</v>
      </c>
    </row>
    <row r="797" spans="2:29" ht="56" x14ac:dyDescent="0.35">
      <c r="B797" s="132">
        <v>20250883</v>
      </c>
      <c r="C797" s="133" t="s">
        <v>209</v>
      </c>
      <c r="D797" s="298" t="s">
        <v>169</v>
      </c>
      <c r="E797" s="302" t="s">
        <v>465</v>
      </c>
      <c r="F797" s="298" t="s">
        <v>1119</v>
      </c>
      <c r="G797" s="298" t="s">
        <v>156</v>
      </c>
      <c r="H797" s="134">
        <v>80111600</v>
      </c>
      <c r="I797" s="299">
        <v>9</v>
      </c>
      <c r="J797" s="299">
        <v>3</v>
      </c>
      <c r="K797" s="135">
        <v>0</v>
      </c>
      <c r="L797" s="131">
        <v>9000000</v>
      </c>
      <c r="M797" s="142" t="s">
        <v>464</v>
      </c>
      <c r="N797" s="131" t="s">
        <v>113</v>
      </c>
      <c r="O797" s="51" t="s">
        <v>222</v>
      </c>
      <c r="P797" s="300" t="str">
        <f>IFERROR(VLOOKUP(C797,TD!$B$33:$F$37,2,0)," ")</f>
        <v>O230117</v>
      </c>
      <c r="Q797" s="300" t="str">
        <f>IFERROR(VLOOKUP(C797,TD!$B$33:$F$37,3,0)," ")</f>
        <v>4503</v>
      </c>
      <c r="R797" s="300">
        <f>IFERROR(VLOOKUP(C797,TD!$B$33:$F$37,4,0)," ")</f>
        <v>20240255</v>
      </c>
      <c r="S797" s="51" t="s">
        <v>175</v>
      </c>
      <c r="T797" s="248" t="str">
        <f>IFERROR(VLOOKUP(S797,TD!$J$34:$K$44,2,0)," ")</f>
        <v>Servicio de atención a incidentes y emergencias.</v>
      </c>
      <c r="U797" s="249" t="str">
        <f>CONCATENATE(S797,"-",T797)</f>
        <v>04-Servicio de atención a incidentes y emergencias.</v>
      </c>
      <c r="V797" s="51" t="s">
        <v>232</v>
      </c>
      <c r="W797" s="248" t="str">
        <f>IFERROR(VLOOKUP(V797,TD!$N$34:$O$46,2,0)," ")</f>
        <v>Servicio de atención a emergencias y desastres</v>
      </c>
      <c r="X797" s="296" t="str">
        <f>CONCATENATE(V797,"_",W797)</f>
        <v>004_Servicio de atención a emergencias y desastres</v>
      </c>
      <c r="Y797" s="296" t="str">
        <f>CONCATENATE(U797," ",X797)</f>
        <v>04-Servicio de atención a incidentes y emergencias. 004_Servicio de atención a emergencias y desastres</v>
      </c>
      <c r="Z797" s="300" t="str">
        <f>CONCATENATE(P797,Q797,R797,S797,V797)</f>
        <v>O23011745032024025504004</v>
      </c>
      <c r="AA797" s="300" t="str">
        <f>IFERROR(VLOOKUP(Y797,TD!$K$47:$L$65,2,0)," ")</f>
        <v>PM/0131/0104/45030040255</v>
      </c>
      <c r="AB797" s="131" t="s">
        <v>138</v>
      </c>
      <c r="AC797" s="301" t="s">
        <v>204</v>
      </c>
    </row>
    <row r="798" spans="2:29" ht="56" x14ac:dyDescent="0.35">
      <c r="B798" s="132">
        <v>20250884</v>
      </c>
      <c r="C798" s="133" t="s">
        <v>209</v>
      </c>
      <c r="D798" s="298" t="s">
        <v>169</v>
      </c>
      <c r="E798" s="302" t="s">
        <v>465</v>
      </c>
      <c r="F798" s="298" t="s">
        <v>1119</v>
      </c>
      <c r="G798" s="298" t="s">
        <v>156</v>
      </c>
      <c r="H798" s="134">
        <v>80111600</v>
      </c>
      <c r="I798" s="299">
        <v>9</v>
      </c>
      <c r="J798" s="299">
        <v>3</v>
      </c>
      <c r="K798" s="135">
        <v>0</v>
      </c>
      <c r="L798" s="131">
        <v>9000000</v>
      </c>
      <c r="M798" s="142" t="s">
        <v>464</v>
      </c>
      <c r="N798" s="131" t="s">
        <v>113</v>
      </c>
      <c r="O798" s="51" t="s">
        <v>222</v>
      </c>
      <c r="P798" s="300" t="str">
        <f>IFERROR(VLOOKUP(C798,TD!$B$33:$F$37,2,0)," ")</f>
        <v>O230117</v>
      </c>
      <c r="Q798" s="300" t="str">
        <f>IFERROR(VLOOKUP(C798,TD!$B$33:$F$37,3,0)," ")</f>
        <v>4503</v>
      </c>
      <c r="R798" s="300">
        <f>IFERROR(VLOOKUP(C798,TD!$B$33:$F$37,4,0)," ")</f>
        <v>20240255</v>
      </c>
      <c r="S798" s="51" t="s">
        <v>175</v>
      </c>
      <c r="T798" s="248" t="str">
        <f>IFERROR(VLOOKUP(S798,TD!$J$34:$K$44,2,0)," ")</f>
        <v>Servicio de atención a incidentes y emergencias.</v>
      </c>
      <c r="U798" s="249" t="str">
        <f>CONCATENATE(S798,"-",T798)</f>
        <v>04-Servicio de atención a incidentes y emergencias.</v>
      </c>
      <c r="V798" s="51" t="s">
        <v>232</v>
      </c>
      <c r="W798" s="248" t="str">
        <f>IFERROR(VLOOKUP(V798,TD!$N$34:$O$46,2,0)," ")</f>
        <v>Servicio de atención a emergencias y desastres</v>
      </c>
      <c r="X798" s="296" t="str">
        <f>CONCATENATE(V798,"_",W798)</f>
        <v>004_Servicio de atención a emergencias y desastres</v>
      </c>
      <c r="Y798" s="296" t="str">
        <f>CONCATENATE(U798," ",X798)</f>
        <v>04-Servicio de atención a incidentes y emergencias. 004_Servicio de atención a emergencias y desastres</v>
      </c>
      <c r="Z798" s="300" t="str">
        <f>CONCATENATE(P798,Q798,R798,S798,V798)</f>
        <v>O23011745032024025504004</v>
      </c>
      <c r="AA798" s="300" t="str">
        <f>IFERROR(VLOOKUP(Y798,TD!$K$47:$L$65,2,0)," ")</f>
        <v>PM/0131/0104/45030040255</v>
      </c>
      <c r="AB798" s="131" t="s">
        <v>138</v>
      </c>
      <c r="AC798" s="301" t="s">
        <v>204</v>
      </c>
    </row>
    <row r="799" spans="2:29" ht="56" x14ac:dyDescent="0.35">
      <c r="B799" s="132">
        <v>20250885</v>
      </c>
      <c r="C799" s="133" t="s">
        <v>209</v>
      </c>
      <c r="D799" s="298" t="s">
        <v>169</v>
      </c>
      <c r="E799" s="302" t="s">
        <v>465</v>
      </c>
      <c r="F799" s="298" t="s">
        <v>1120</v>
      </c>
      <c r="G799" s="298" t="s">
        <v>155</v>
      </c>
      <c r="H799" s="134">
        <v>80111600</v>
      </c>
      <c r="I799" s="299">
        <v>9</v>
      </c>
      <c r="J799" s="299">
        <v>3</v>
      </c>
      <c r="K799" s="135">
        <v>0</v>
      </c>
      <c r="L799" s="131">
        <v>21000000</v>
      </c>
      <c r="M799" s="142" t="s">
        <v>464</v>
      </c>
      <c r="N799" s="131" t="s">
        <v>113</v>
      </c>
      <c r="O799" s="51" t="s">
        <v>222</v>
      </c>
      <c r="P799" s="300" t="str">
        <f>IFERROR(VLOOKUP(C799,TD!$B$33:$F$37,2,0)," ")</f>
        <v>O230117</v>
      </c>
      <c r="Q799" s="300" t="str">
        <f>IFERROR(VLOOKUP(C799,TD!$B$33:$F$37,3,0)," ")</f>
        <v>4503</v>
      </c>
      <c r="R799" s="300">
        <f>IFERROR(VLOOKUP(C799,TD!$B$33:$F$37,4,0)," ")</f>
        <v>20240255</v>
      </c>
      <c r="S799" s="51" t="s">
        <v>175</v>
      </c>
      <c r="T799" s="248" t="str">
        <f>IFERROR(VLOOKUP(S799,TD!$J$34:$K$44,2,0)," ")</f>
        <v>Servicio de atención a incidentes y emergencias.</v>
      </c>
      <c r="U799" s="249" t="str">
        <f>CONCATENATE(S799,"-",T799)</f>
        <v>04-Servicio de atención a incidentes y emergencias.</v>
      </c>
      <c r="V799" s="51" t="s">
        <v>232</v>
      </c>
      <c r="W799" s="248" t="str">
        <f>IFERROR(VLOOKUP(V799,TD!$N$34:$O$46,2,0)," ")</f>
        <v>Servicio de atención a emergencias y desastres</v>
      </c>
      <c r="X799" s="296" t="str">
        <f>CONCATENATE(V799,"_",W799)</f>
        <v>004_Servicio de atención a emergencias y desastres</v>
      </c>
      <c r="Y799" s="296" t="str">
        <f>CONCATENATE(U799," ",X799)</f>
        <v>04-Servicio de atención a incidentes y emergencias. 004_Servicio de atención a emergencias y desastres</v>
      </c>
      <c r="Z799" s="300" t="str">
        <f>CONCATENATE(P799,Q799,R799,S799,V799)</f>
        <v>O23011745032024025504004</v>
      </c>
      <c r="AA799" s="300" t="str">
        <f>IFERROR(VLOOKUP(Y799,TD!$K$47:$L$65,2,0)," ")</f>
        <v>PM/0131/0104/45030040255</v>
      </c>
      <c r="AB799" s="131" t="s">
        <v>138</v>
      </c>
      <c r="AC799" s="301" t="s">
        <v>204</v>
      </c>
    </row>
    <row r="800" spans="2:29" ht="56" x14ac:dyDescent="0.35">
      <c r="B800" s="137">
        <v>20250886</v>
      </c>
      <c r="C800" s="138" t="s">
        <v>209</v>
      </c>
      <c r="D800" s="292" t="s">
        <v>169</v>
      </c>
      <c r="E800" s="295" t="s">
        <v>465</v>
      </c>
      <c r="F800" s="292" t="s">
        <v>1048</v>
      </c>
      <c r="G800" s="292" t="s">
        <v>156</v>
      </c>
      <c r="H800" s="139">
        <v>80111600</v>
      </c>
      <c r="I800" s="293">
        <v>10</v>
      </c>
      <c r="J800" s="293">
        <v>2</v>
      </c>
      <c r="K800" s="140">
        <v>15</v>
      </c>
      <c r="L800" s="141">
        <v>7250000</v>
      </c>
      <c r="M800" s="158" t="s">
        <v>464</v>
      </c>
      <c r="N800" s="141" t="s">
        <v>113</v>
      </c>
      <c r="O800" s="252" t="s">
        <v>222</v>
      </c>
      <c r="P800" s="294" t="str">
        <f>IFERROR(VLOOKUP(C800,TD!$B$33:$F$37,2,0)," ")</f>
        <v>O230117</v>
      </c>
      <c r="Q800" s="294" t="str">
        <f>IFERROR(VLOOKUP(C800,TD!$B$33:$F$37,3,0)," ")</f>
        <v>4503</v>
      </c>
      <c r="R800" s="294">
        <f>IFERROR(VLOOKUP(C800,TD!$B$33:$F$37,4,0)," ")</f>
        <v>20240255</v>
      </c>
      <c r="S800" s="252" t="s">
        <v>175</v>
      </c>
      <c r="T800" s="254" t="str">
        <f>IFERROR(VLOOKUP(S800,TD!$J$34:$K$44,2,0)," ")</f>
        <v>Servicio de atención a incidentes y emergencias.</v>
      </c>
      <c r="U800" s="252" t="str">
        <f>CONCATENATE(S800,"-",T800)</f>
        <v>04-Servicio de atención a incidentes y emergencias.</v>
      </c>
      <c r="V800" s="252" t="s">
        <v>232</v>
      </c>
      <c r="W800" s="254" t="str">
        <f>IFERROR(VLOOKUP(V800,TD!$N$34:$O$46,2,0)," ")</f>
        <v>Servicio de atención a emergencias y desastres</v>
      </c>
      <c r="X800" s="295" t="str">
        <f>CONCATENATE(V800,"_",W800)</f>
        <v>004_Servicio de atención a emergencias y desastres</v>
      </c>
      <c r="Y800" s="295" t="str">
        <f>CONCATENATE(U800," ",X800)</f>
        <v>04-Servicio de atención a incidentes y emergencias. 004_Servicio de atención a emergencias y desastres</v>
      </c>
      <c r="Z800" s="294" t="str">
        <f>CONCATENATE(P800,Q800,R800,S800,V800)</f>
        <v>O23011745032024025504004</v>
      </c>
      <c r="AA800" s="294" t="str">
        <f>IFERROR(VLOOKUP(Y800,TD!$K$47:$L$65,2,0)," ")</f>
        <v>PM/0131/0104/45030040255</v>
      </c>
      <c r="AB800" s="141" t="s">
        <v>138</v>
      </c>
      <c r="AC800" s="297" t="s">
        <v>205</v>
      </c>
    </row>
    <row r="801" spans="2:29" ht="56" x14ac:dyDescent="0.35">
      <c r="B801" s="137">
        <v>20250887</v>
      </c>
      <c r="C801" s="138" t="s">
        <v>209</v>
      </c>
      <c r="D801" s="292" t="s">
        <v>169</v>
      </c>
      <c r="E801" s="295" t="s">
        <v>465</v>
      </c>
      <c r="F801" s="292" t="s">
        <v>1049</v>
      </c>
      <c r="G801" s="292" t="s">
        <v>156</v>
      </c>
      <c r="H801" s="139">
        <v>80111600</v>
      </c>
      <c r="I801" s="293">
        <v>10</v>
      </c>
      <c r="J801" s="293">
        <v>2</v>
      </c>
      <c r="K801" s="140">
        <v>15</v>
      </c>
      <c r="L801" s="141">
        <v>7250000</v>
      </c>
      <c r="M801" s="158" t="s">
        <v>464</v>
      </c>
      <c r="N801" s="141" t="s">
        <v>113</v>
      </c>
      <c r="O801" s="252" t="s">
        <v>222</v>
      </c>
      <c r="P801" s="294" t="str">
        <f>IFERROR(VLOOKUP(C801,TD!$B$33:$F$37,2,0)," ")</f>
        <v>O230117</v>
      </c>
      <c r="Q801" s="294" t="str">
        <f>IFERROR(VLOOKUP(C801,TD!$B$33:$F$37,3,0)," ")</f>
        <v>4503</v>
      </c>
      <c r="R801" s="294">
        <f>IFERROR(VLOOKUP(C801,TD!$B$33:$F$37,4,0)," ")</f>
        <v>20240255</v>
      </c>
      <c r="S801" s="252" t="s">
        <v>175</v>
      </c>
      <c r="T801" s="254" t="str">
        <f>IFERROR(VLOOKUP(S801,TD!$J$34:$K$44,2,0)," ")</f>
        <v>Servicio de atención a incidentes y emergencias.</v>
      </c>
      <c r="U801" s="252" t="str">
        <f>CONCATENATE(S801,"-",T801)</f>
        <v>04-Servicio de atención a incidentes y emergencias.</v>
      </c>
      <c r="V801" s="252" t="s">
        <v>232</v>
      </c>
      <c r="W801" s="254" t="str">
        <f>IFERROR(VLOOKUP(V801,TD!$N$34:$O$46,2,0)," ")</f>
        <v>Servicio de atención a emergencias y desastres</v>
      </c>
      <c r="X801" s="295" t="str">
        <f>CONCATENATE(V801,"_",W801)</f>
        <v>004_Servicio de atención a emergencias y desastres</v>
      </c>
      <c r="Y801" s="295" t="str">
        <f>CONCATENATE(U801," ",X801)</f>
        <v>04-Servicio de atención a incidentes y emergencias. 004_Servicio de atención a emergencias y desastres</v>
      </c>
      <c r="Z801" s="294" t="str">
        <f>CONCATENATE(P801,Q801,R801,S801,V801)</f>
        <v>O23011745032024025504004</v>
      </c>
      <c r="AA801" s="294" t="str">
        <f>IFERROR(VLOOKUP(Y801,TD!$K$47:$L$65,2,0)," ")</f>
        <v>PM/0131/0104/45030040255</v>
      </c>
      <c r="AB801" s="141" t="s">
        <v>138</v>
      </c>
      <c r="AC801" s="297" t="s">
        <v>205</v>
      </c>
    </row>
    <row r="802" spans="2:29" ht="84" x14ac:dyDescent="0.35">
      <c r="B802" s="137">
        <v>20250888</v>
      </c>
      <c r="C802" s="138" t="s">
        <v>209</v>
      </c>
      <c r="D802" s="292" t="s">
        <v>169</v>
      </c>
      <c r="E802" s="295" t="s">
        <v>465</v>
      </c>
      <c r="F802" s="292" t="s">
        <v>1050</v>
      </c>
      <c r="G802" s="292" t="s">
        <v>156</v>
      </c>
      <c r="H802" s="139">
        <v>80111600</v>
      </c>
      <c r="I802" s="293">
        <v>10</v>
      </c>
      <c r="J802" s="293">
        <v>2</v>
      </c>
      <c r="K802" s="140">
        <v>15</v>
      </c>
      <c r="L802" s="141">
        <v>7250000</v>
      </c>
      <c r="M802" s="158" t="s">
        <v>464</v>
      </c>
      <c r="N802" s="141" t="s">
        <v>113</v>
      </c>
      <c r="O802" s="252" t="s">
        <v>222</v>
      </c>
      <c r="P802" s="294" t="str">
        <f>IFERROR(VLOOKUP(C802,TD!$B$33:$F$37,2,0)," ")</f>
        <v>O230117</v>
      </c>
      <c r="Q802" s="294" t="str">
        <f>IFERROR(VLOOKUP(C802,TD!$B$33:$F$37,3,0)," ")</f>
        <v>4503</v>
      </c>
      <c r="R802" s="294">
        <f>IFERROR(VLOOKUP(C802,TD!$B$33:$F$37,4,0)," ")</f>
        <v>20240255</v>
      </c>
      <c r="S802" s="252" t="s">
        <v>175</v>
      </c>
      <c r="T802" s="254" t="str">
        <f>IFERROR(VLOOKUP(S802,TD!$J$34:$K$44,2,0)," ")</f>
        <v>Servicio de atención a incidentes y emergencias.</v>
      </c>
      <c r="U802" s="252" t="str">
        <f>CONCATENATE(S802,"-",T802)</f>
        <v>04-Servicio de atención a incidentes y emergencias.</v>
      </c>
      <c r="V802" s="252" t="s">
        <v>232</v>
      </c>
      <c r="W802" s="254" t="str">
        <f>IFERROR(VLOOKUP(V802,TD!$N$34:$O$46,2,0)," ")</f>
        <v>Servicio de atención a emergencias y desastres</v>
      </c>
      <c r="X802" s="295" t="str">
        <f>CONCATENATE(V802,"_",W802)</f>
        <v>004_Servicio de atención a emergencias y desastres</v>
      </c>
      <c r="Y802" s="295" t="str">
        <f>CONCATENATE(U802," ",X802)</f>
        <v>04-Servicio de atención a incidentes y emergencias. 004_Servicio de atención a emergencias y desastres</v>
      </c>
      <c r="Z802" s="294" t="str">
        <f>CONCATENATE(P802,Q802,R802,S802,V802)</f>
        <v>O23011745032024025504004</v>
      </c>
      <c r="AA802" s="294" t="str">
        <f>IFERROR(VLOOKUP(Y802,TD!$K$47:$L$65,2,0)," ")</f>
        <v>PM/0131/0104/45030040255</v>
      </c>
      <c r="AB802" s="141" t="s">
        <v>138</v>
      </c>
      <c r="AC802" s="297" t="s">
        <v>205</v>
      </c>
    </row>
    <row r="803" spans="2:29" ht="42" x14ac:dyDescent="0.35">
      <c r="B803" s="137">
        <v>20250889</v>
      </c>
      <c r="C803" s="138" t="s">
        <v>209</v>
      </c>
      <c r="D803" s="292" t="s">
        <v>169</v>
      </c>
      <c r="E803" s="295" t="s">
        <v>465</v>
      </c>
      <c r="F803" s="292" t="s">
        <v>1051</v>
      </c>
      <c r="G803" s="292" t="s">
        <v>156</v>
      </c>
      <c r="H803" s="139">
        <v>80111600</v>
      </c>
      <c r="I803" s="293">
        <v>10</v>
      </c>
      <c r="J803" s="293">
        <v>2</v>
      </c>
      <c r="K803" s="140">
        <v>0</v>
      </c>
      <c r="L803" s="141">
        <v>5800000</v>
      </c>
      <c r="M803" s="158" t="s">
        <v>464</v>
      </c>
      <c r="N803" s="141" t="s">
        <v>113</v>
      </c>
      <c r="O803" s="252" t="s">
        <v>222</v>
      </c>
      <c r="P803" s="294" t="str">
        <f>IFERROR(VLOOKUP(C803,TD!$B$33:$F$37,2,0)," ")</f>
        <v>O230117</v>
      </c>
      <c r="Q803" s="294" t="str">
        <f>IFERROR(VLOOKUP(C803,TD!$B$33:$F$37,3,0)," ")</f>
        <v>4503</v>
      </c>
      <c r="R803" s="294">
        <f>IFERROR(VLOOKUP(C803,TD!$B$33:$F$37,4,0)," ")</f>
        <v>20240255</v>
      </c>
      <c r="S803" s="252" t="s">
        <v>175</v>
      </c>
      <c r="T803" s="254" t="str">
        <f>IFERROR(VLOOKUP(S803,TD!$J$34:$K$44,2,0)," ")</f>
        <v>Servicio de atención a incidentes y emergencias.</v>
      </c>
      <c r="U803" s="252" t="str">
        <f>CONCATENATE(S803,"-",T803)</f>
        <v>04-Servicio de atención a incidentes y emergencias.</v>
      </c>
      <c r="V803" s="252" t="s">
        <v>232</v>
      </c>
      <c r="W803" s="254" t="str">
        <f>IFERROR(VLOOKUP(V803,TD!$N$34:$O$46,2,0)," ")</f>
        <v>Servicio de atención a emergencias y desastres</v>
      </c>
      <c r="X803" s="295" t="str">
        <f>CONCATENATE(V803,"_",W803)</f>
        <v>004_Servicio de atención a emergencias y desastres</v>
      </c>
      <c r="Y803" s="295" t="str">
        <f>CONCATENATE(U803," ",X803)</f>
        <v>04-Servicio de atención a incidentes y emergencias. 004_Servicio de atención a emergencias y desastres</v>
      </c>
      <c r="Z803" s="294" t="str">
        <f>CONCATENATE(P803,Q803,R803,S803,V803)</f>
        <v>O23011745032024025504004</v>
      </c>
      <c r="AA803" s="294" t="str">
        <f>IFERROR(VLOOKUP(Y803,TD!$K$47:$L$65,2,0)," ")</f>
        <v>PM/0131/0104/45030040255</v>
      </c>
      <c r="AB803" s="141" t="s">
        <v>138</v>
      </c>
      <c r="AC803" s="297" t="s">
        <v>205</v>
      </c>
    </row>
    <row r="804" spans="2:29" ht="56" x14ac:dyDescent="0.35">
      <c r="B804" s="137">
        <v>20250890</v>
      </c>
      <c r="C804" s="138" t="s">
        <v>209</v>
      </c>
      <c r="D804" s="292" t="s">
        <v>169</v>
      </c>
      <c r="E804" s="295" t="s">
        <v>465</v>
      </c>
      <c r="F804" s="292" t="s">
        <v>1052</v>
      </c>
      <c r="G804" s="292" t="s">
        <v>156</v>
      </c>
      <c r="H804" s="139">
        <v>80111600</v>
      </c>
      <c r="I804" s="293">
        <v>10</v>
      </c>
      <c r="J804" s="293">
        <v>2</v>
      </c>
      <c r="K804" s="140">
        <v>0</v>
      </c>
      <c r="L804" s="141">
        <v>5800000</v>
      </c>
      <c r="M804" s="158" t="s">
        <v>464</v>
      </c>
      <c r="N804" s="141" t="s">
        <v>113</v>
      </c>
      <c r="O804" s="252" t="s">
        <v>222</v>
      </c>
      <c r="P804" s="294" t="str">
        <f>IFERROR(VLOOKUP(C804,TD!$B$33:$F$37,2,0)," ")</f>
        <v>O230117</v>
      </c>
      <c r="Q804" s="294" t="str">
        <f>IFERROR(VLOOKUP(C804,TD!$B$33:$F$37,3,0)," ")</f>
        <v>4503</v>
      </c>
      <c r="R804" s="294">
        <f>IFERROR(VLOOKUP(C804,TD!$B$33:$F$37,4,0)," ")</f>
        <v>20240255</v>
      </c>
      <c r="S804" s="252" t="s">
        <v>175</v>
      </c>
      <c r="T804" s="254" t="str">
        <f>IFERROR(VLOOKUP(S804,TD!$J$34:$K$44,2,0)," ")</f>
        <v>Servicio de atención a incidentes y emergencias.</v>
      </c>
      <c r="U804" s="252" t="str">
        <f>CONCATENATE(S804,"-",T804)</f>
        <v>04-Servicio de atención a incidentes y emergencias.</v>
      </c>
      <c r="V804" s="252" t="s">
        <v>232</v>
      </c>
      <c r="W804" s="254" t="str">
        <f>IFERROR(VLOOKUP(V804,TD!$N$34:$O$46,2,0)," ")</f>
        <v>Servicio de atención a emergencias y desastres</v>
      </c>
      <c r="X804" s="295" t="str">
        <f>CONCATENATE(V804,"_",W804)</f>
        <v>004_Servicio de atención a emergencias y desastres</v>
      </c>
      <c r="Y804" s="295" t="str">
        <f>CONCATENATE(U804," ",X804)</f>
        <v>04-Servicio de atención a incidentes y emergencias. 004_Servicio de atención a emergencias y desastres</v>
      </c>
      <c r="Z804" s="294" t="str">
        <f>CONCATENATE(P804,Q804,R804,S804,V804)</f>
        <v>O23011745032024025504004</v>
      </c>
      <c r="AA804" s="294" t="str">
        <f>IFERROR(VLOOKUP(Y804,TD!$K$47:$L$65,2,0)," ")</f>
        <v>PM/0131/0104/45030040255</v>
      </c>
      <c r="AB804" s="141" t="s">
        <v>138</v>
      </c>
      <c r="AC804" s="297" t="s">
        <v>205</v>
      </c>
    </row>
    <row r="805" spans="2:29" ht="56" x14ac:dyDescent="0.35">
      <c r="B805" s="137">
        <v>20250891</v>
      </c>
      <c r="C805" s="138" t="s">
        <v>209</v>
      </c>
      <c r="D805" s="292" t="s">
        <v>169</v>
      </c>
      <c r="E805" s="295" t="s">
        <v>465</v>
      </c>
      <c r="F805" s="292" t="s">
        <v>1053</v>
      </c>
      <c r="G805" s="292" t="s">
        <v>156</v>
      </c>
      <c r="H805" s="139">
        <v>80111600</v>
      </c>
      <c r="I805" s="293">
        <v>10</v>
      </c>
      <c r="J805" s="293">
        <v>2</v>
      </c>
      <c r="K805" s="140">
        <v>0</v>
      </c>
      <c r="L805" s="141">
        <v>5800000</v>
      </c>
      <c r="M805" s="158" t="s">
        <v>464</v>
      </c>
      <c r="N805" s="141" t="s">
        <v>113</v>
      </c>
      <c r="O805" s="252" t="s">
        <v>222</v>
      </c>
      <c r="P805" s="294" t="str">
        <f>IFERROR(VLOOKUP(C805,TD!$B$33:$F$37,2,0)," ")</f>
        <v>O230117</v>
      </c>
      <c r="Q805" s="294" t="str">
        <f>IFERROR(VLOOKUP(C805,TD!$B$33:$F$37,3,0)," ")</f>
        <v>4503</v>
      </c>
      <c r="R805" s="294">
        <f>IFERROR(VLOOKUP(C805,TD!$B$33:$F$37,4,0)," ")</f>
        <v>20240255</v>
      </c>
      <c r="S805" s="252" t="s">
        <v>175</v>
      </c>
      <c r="T805" s="254" t="str">
        <f>IFERROR(VLOOKUP(S805,TD!$J$34:$K$44,2,0)," ")</f>
        <v>Servicio de atención a incidentes y emergencias.</v>
      </c>
      <c r="U805" s="252" t="str">
        <f>CONCATENATE(S805,"-",T805)</f>
        <v>04-Servicio de atención a incidentes y emergencias.</v>
      </c>
      <c r="V805" s="252" t="s">
        <v>232</v>
      </c>
      <c r="W805" s="254" t="str">
        <f>IFERROR(VLOOKUP(V805,TD!$N$34:$O$46,2,0)," ")</f>
        <v>Servicio de atención a emergencias y desastres</v>
      </c>
      <c r="X805" s="295" t="str">
        <f>CONCATENATE(V805,"_",W805)</f>
        <v>004_Servicio de atención a emergencias y desastres</v>
      </c>
      <c r="Y805" s="295" t="str">
        <f>CONCATENATE(U805," ",X805)</f>
        <v>04-Servicio de atención a incidentes y emergencias. 004_Servicio de atención a emergencias y desastres</v>
      </c>
      <c r="Z805" s="294" t="str">
        <f>CONCATENATE(P805,Q805,R805,S805,V805)</f>
        <v>O23011745032024025504004</v>
      </c>
      <c r="AA805" s="294" t="str">
        <f>IFERROR(VLOOKUP(Y805,TD!$K$47:$L$65,2,0)," ")</f>
        <v>PM/0131/0104/45030040255</v>
      </c>
      <c r="AB805" s="141" t="s">
        <v>138</v>
      </c>
      <c r="AC805" s="297" t="s">
        <v>205</v>
      </c>
    </row>
    <row r="806" spans="2:29" ht="98" x14ac:dyDescent="0.35">
      <c r="B806" s="137">
        <v>20250892</v>
      </c>
      <c r="C806" s="138" t="s">
        <v>209</v>
      </c>
      <c r="D806" s="292" t="s">
        <v>169</v>
      </c>
      <c r="E806" s="295" t="s">
        <v>465</v>
      </c>
      <c r="F806" s="292" t="s">
        <v>1054</v>
      </c>
      <c r="G806" s="292" t="s">
        <v>156</v>
      </c>
      <c r="H806" s="139">
        <v>80111600</v>
      </c>
      <c r="I806" s="293">
        <v>10</v>
      </c>
      <c r="J806" s="293">
        <v>2</v>
      </c>
      <c r="K806" s="140">
        <v>0</v>
      </c>
      <c r="L806" s="141">
        <v>5800000</v>
      </c>
      <c r="M806" s="158" t="s">
        <v>464</v>
      </c>
      <c r="N806" s="141" t="s">
        <v>113</v>
      </c>
      <c r="O806" s="252" t="s">
        <v>222</v>
      </c>
      <c r="P806" s="294" t="str">
        <f>IFERROR(VLOOKUP(C806,TD!$B$33:$F$37,2,0)," ")</f>
        <v>O230117</v>
      </c>
      <c r="Q806" s="294" t="str">
        <f>IFERROR(VLOOKUP(C806,TD!$B$33:$F$37,3,0)," ")</f>
        <v>4503</v>
      </c>
      <c r="R806" s="294">
        <f>IFERROR(VLOOKUP(C806,TD!$B$33:$F$37,4,0)," ")</f>
        <v>20240255</v>
      </c>
      <c r="S806" s="252" t="s">
        <v>175</v>
      </c>
      <c r="T806" s="254" t="str">
        <f>IFERROR(VLOOKUP(S806,TD!$J$34:$K$44,2,0)," ")</f>
        <v>Servicio de atención a incidentes y emergencias.</v>
      </c>
      <c r="U806" s="252" t="str">
        <f>CONCATENATE(S806,"-",T806)</f>
        <v>04-Servicio de atención a incidentes y emergencias.</v>
      </c>
      <c r="V806" s="252" t="s">
        <v>232</v>
      </c>
      <c r="W806" s="254" t="str">
        <f>IFERROR(VLOOKUP(V806,TD!$N$34:$O$46,2,0)," ")</f>
        <v>Servicio de atención a emergencias y desastres</v>
      </c>
      <c r="X806" s="295" t="str">
        <f>CONCATENATE(V806,"_",W806)</f>
        <v>004_Servicio de atención a emergencias y desastres</v>
      </c>
      <c r="Y806" s="295" t="str">
        <f>CONCATENATE(U806," ",X806)</f>
        <v>04-Servicio de atención a incidentes y emergencias. 004_Servicio de atención a emergencias y desastres</v>
      </c>
      <c r="Z806" s="294" t="str">
        <f>CONCATENATE(P806,Q806,R806,S806,V806)</f>
        <v>O23011745032024025504004</v>
      </c>
      <c r="AA806" s="294" t="str">
        <f>IFERROR(VLOOKUP(Y806,TD!$K$47:$L$65,2,0)," ")</f>
        <v>PM/0131/0104/45030040255</v>
      </c>
      <c r="AB806" s="141" t="s">
        <v>138</v>
      </c>
      <c r="AC806" s="297" t="s">
        <v>205</v>
      </c>
    </row>
    <row r="807" spans="2:29" ht="70" x14ac:dyDescent="0.35">
      <c r="B807" s="137">
        <v>20250893</v>
      </c>
      <c r="C807" s="138" t="s">
        <v>209</v>
      </c>
      <c r="D807" s="292" t="s">
        <v>169</v>
      </c>
      <c r="E807" s="295" t="s">
        <v>465</v>
      </c>
      <c r="F807" s="292" t="s">
        <v>1247</v>
      </c>
      <c r="G807" s="292" t="s">
        <v>155</v>
      </c>
      <c r="H807" s="139">
        <v>80111600</v>
      </c>
      <c r="I807" s="293">
        <v>10</v>
      </c>
      <c r="J807" s="293">
        <v>2</v>
      </c>
      <c r="K807" s="140">
        <v>15</v>
      </c>
      <c r="L807" s="141">
        <v>12000000</v>
      </c>
      <c r="M807" s="158" t="s">
        <v>464</v>
      </c>
      <c r="N807" s="141" t="s">
        <v>113</v>
      </c>
      <c r="O807" s="252" t="s">
        <v>222</v>
      </c>
      <c r="P807" s="294" t="str">
        <f>IFERROR(VLOOKUP(C807,TD!$B$33:$F$37,2,0)," ")</f>
        <v>O230117</v>
      </c>
      <c r="Q807" s="294" t="str">
        <f>IFERROR(VLOOKUP(C807,TD!$B$33:$F$37,3,0)," ")</f>
        <v>4503</v>
      </c>
      <c r="R807" s="294">
        <f>IFERROR(VLOOKUP(C807,TD!$B$33:$F$37,4,0)," ")</f>
        <v>20240255</v>
      </c>
      <c r="S807" s="252" t="s">
        <v>175</v>
      </c>
      <c r="T807" s="254" t="str">
        <f>IFERROR(VLOOKUP(S807,TD!$J$34:$K$44,2,0)," ")</f>
        <v>Servicio de atención a incidentes y emergencias.</v>
      </c>
      <c r="U807" s="252" t="str">
        <f>CONCATENATE(S807,"-",T807)</f>
        <v>04-Servicio de atención a incidentes y emergencias.</v>
      </c>
      <c r="V807" s="252" t="s">
        <v>232</v>
      </c>
      <c r="W807" s="254" t="str">
        <f>IFERROR(VLOOKUP(V807,TD!$N$34:$O$46,2,0)," ")</f>
        <v>Servicio de atención a emergencias y desastres</v>
      </c>
      <c r="X807" s="295" t="str">
        <f>CONCATENATE(V807,"_",W807)</f>
        <v>004_Servicio de atención a emergencias y desastres</v>
      </c>
      <c r="Y807" s="295" t="str">
        <f>CONCATENATE(U807," ",X807)</f>
        <v>04-Servicio de atención a incidentes y emergencias. 004_Servicio de atención a emergencias y desastres</v>
      </c>
      <c r="Z807" s="294" t="str">
        <f>CONCATENATE(P807,Q807,R807,S807,V807)</f>
        <v>O23011745032024025504004</v>
      </c>
      <c r="AA807" s="294" t="str">
        <f>IFERROR(VLOOKUP(Y807,TD!$K$47:$L$65,2,0)," ")</f>
        <v>PM/0131/0104/45030040255</v>
      </c>
      <c r="AB807" s="141" t="s">
        <v>138</v>
      </c>
      <c r="AC807" s="297" t="s">
        <v>205</v>
      </c>
    </row>
    <row r="808" spans="2:29" ht="70" x14ac:dyDescent="0.35">
      <c r="B808" s="137">
        <v>20250894</v>
      </c>
      <c r="C808" s="138" t="s">
        <v>209</v>
      </c>
      <c r="D808" s="292" t="s">
        <v>169</v>
      </c>
      <c r="E808" s="295" t="s">
        <v>465</v>
      </c>
      <c r="F808" s="292" t="s">
        <v>1055</v>
      </c>
      <c r="G808" s="292" t="s">
        <v>156</v>
      </c>
      <c r="H808" s="139">
        <v>80111600</v>
      </c>
      <c r="I808" s="293">
        <v>11</v>
      </c>
      <c r="J808" s="293">
        <v>2</v>
      </c>
      <c r="K808" s="140">
        <v>0</v>
      </c>
      <c r="L808" s="141">
        <v>6400000</v>
      </c>
      <c r="M808" s="158" t="s">
        <v>464</v>
      </c>
      <c r="N808" s="141" t="s">
        <v>113</v>
      </c>
      <c r="O808" s="252" t="s">
        <v>222</v>
      </c>
      <c r="P808" s="294" t="str">
        <f>IFERROR(VLOOKUP(C808,TD!$B$33:$F$37,2,0)," ")</f>
        <v>O230117</v>
      </c>
      <c r="Q808" s="294" t="str">
        <f>IFERROR(VLOOKUP(C808,TD!$B$33:$F$37,3,0)," ")</f>
        <v>4503</v>
      </c>
      <c r="R808" s="294">
        <f>IFERROR(VLOOKUP(C808,TD!$B$33:$F$37,4,0)," ")</f>
        <v>20240255</v>
      </c>
      <c r="S808" s="252" t="s">
        <v>175</v>
      </c>
      <c r="T808" s="254" t="str">
        <f>IFERROR(VLOOKUP(S808,TD!$J$34:$K$44,2,0)," ")</f>
        <v>Servicio de atención a incidentes y emergencias.</v>
      </c>
      <c r="U808" s="252" t="str">
        <f>CONCATENATE(S808,"-",T808)</f>
        <v>04-Servicio de atención a incidentes y emergencias.</v>
      </c>
      <c r="V808" s="252" t="s">
        <v>232</v>
      </c>
      <c r="W808" s="254" t="str">
        <f>IFERROR(VLOOKUP(V808,TD!$N$34:$O$46,2,0)," ")</f>
        <v>Servicio de atención a emergencias y desastres</v>
      </c>
      <c r="X808" s="295" t="str">
        <f>CONCATENATE(V808,"_",W808)</f>
        <v>004_Servicio de atención a emergencias y desastres</v>
      </c>
      <c r="Y808" s="295" t="str">
        <f>CONCATENATE(U808," ",X808)</f>
        <v>04-Servicio de atención a incidentes y emergencias. 004_Servicio de atención a emergencias y desastres</v>
      </c>
      <c r="Z808" s="294" t="str">
        <f>CONCATENATE(P808,Q808,R808,S808,V808)</f>
        <v>O23011745032024025504004</v>
      </c>
      <c r="AA808" s="294" t="str">
        <f>IFERROR(VLOOKUP(Y808,TD!$K$47:$L$65,2,0)," ")</f>
        <v>PM/0131/0104/45030040255</v>
      </c>
      <c r="AB808" s="141" t="s">
        <v>138</v>
      </c>
      <c r="AC808" s="297" t="s">
        <v>205</v>
      </c>
    </row>
    <row r="809" spans="2:29" ht="70" x14ac:dyDescent="0.35">
      <c r="B809" s="137">
        <v>20250895</v>
      </c>
      <c r="C809" s="138" t="s">
        <v>209</v>
      </c>
      <c r="D809" s="292" t="s">
        <v>169</v>
      </c>
      <c r="E809" s="295" t="s">
        <v>465</v>
      </c>
      <c r="F809" s="292" t="s">
        <v>1056</v>
      </c>
      <c r="G809" s="292" t="s">
        <v>156</v>
      </c>
      <c r="H809" s="139">
        <v>80111600</v>
      </c>
      <c r="I809" s="293">
        <v>11</v>
      </c>
      <c r="J809" s="293">
        <v>2</v>
      </c>
      <c r="K809" s="140">
        <v>0</v>
      </c>
      <c r="L809" s="141">
        <v>5800000</v>
      </c>
      <c r="M809" s="158" t="s">
        <v>464</v>
      </c>
      <c r="N809" s="141" t="s">
        <v>113</v>
      </c>
      <c r="O809" s="252" t="s">
        <v>222</v>
      </c>
      <c r="P809" s="294" t="str">
        <f>IFERROR(VLOOKUP(C809,TD!$B$33:$F$37,2,0)," ")</f>
        <v>O230117</v>
      </c>
      <c r="Q809" s="294" t="str">
        <f>IFERROR(VLOOKUP(C809,TD!$B$33:$F$37,3,0)," ")</f>
        <v>4503</v>
      </c>
      <c r="R809" s="294">
        <f>IFERROR(VLOOKUP(C809,TD!$B$33:$F$37,4,0)," ")</f>
        <v>20240255</v>
      </c>
      <c r="S809" s="252" t="s">
        <v>175</v>
      </c>
      <c r="T809" s="254" t="str">
        <f>IFERROR(VLOOKUP(S809,TD!$J$34:$K$44,2,0)," ")</f>
        <v>Servicio de atención a incidentes y emergencias.</v>
      </c>
      <c r="U809" s="252" t="str">
        <f>CONCATENATE(S809,"-",T809)</f>
        <v>04-Servicio de atención a incidentes y emergencias.</v>
      </c>
      <c r="V809" s="252" t="s">
        <v>232</v>
      </c>
      <c r="W809" s="254" t="str">
        <f>IFERROR(VLOOKUP(V809,TD!$N$34:$O$46,2,0)," ")</f>
        <v>Servicio de atención a emergencias y desastres</v>
      </c>
      <c r="X809" s="295" t="str">
        <f>CONCATENATE(V809,"_",W809)</f>
        <v>004_Servicio de atención a emergencias y desastres</v>
      </c>
      <c r="Y809" s="295" t="str">
        <f>CONCATENATE(U809," ",X809)</f>
        <v>04-Servicio de atención a incidentes y emergencias. 004_Servicio de atención a emergencias y desastres</v>
      </c>
      <c r="Z809" s="294" t="str">
        <f>CONCATENATE(P809,Q809,R809,S809,V809)</f>
        <v>O23011745032024025504004</v>
      </c>
      <c r="AA809" s="294" t="str">
        <f>IFERROR(VLOOKUP(Y809,TD!$K$47:$L$65,2,0)," ")</f>
        <v>PM/0131/0104/45030040255</v>
      </c>
      <c r="AB809" s="141" t="s">
        <v>138</v>
      </c>
      <c r="AC809" s="297" t="s">
        <v>205</v>
      </c>
    </row>
    <row r="810" spans="2:29" ht="70" x14ac:dyDescent="0.35">
      <c r="B810" s="137">
        <v>20250896</v>
      </c>
      <c r="C810" s="138" t="s">
        <v>209</v>
      </c>
      <c r="D810" s="292" t="s">
        <v>169</v>
      </c>
      <c r="E810" s="295" t="s">
        <v>465</v>
      </c>
      <c r="F810" s="292" t="s">
        <v>1057</v>
      </c>
      <c r="G810" s="292" t="s">
        <v>156</v>
      </c>
      <c r="H810" s="139">
        <v>80111600</v>
      </c>
      <c r="I810" s="293">
        <v>11</v>
      </c>
      <c r="J810" s="293">
        <v>2</v>
      </c>
      <c r="K810" s="140">
        <v>0</v>
      </c>
      <c r="L810" s="141">
        <v>5800000</v>
      </c>
      <c r="M810" s="158" t="s">
        <v>464</v>
      </c>
      <c r="N810" s="141" t="s">
        <v>113</v>
      </c>
      <c r="O810" s="252" t="s">
        <v>222</v>
      </c>
      <c r="P810" s="294" t="str">
        <f>IFERROR(VLOOKUP(C810,TD!$B$33:$F$37,2,0)," ")</f>
        <v>O230117</v>
      </c>
      <c r="Q810" s="294" t="str">
        <f>IFERROR(VLOOKUP(C810,TD!$B$33:$F$37,3,0)," ")</f>
        <v>4503</v>
      </c>
      <c r="R810" s="294">
        <f>IFERROR(VLOOKUP(C810,TD!$B$33:$F$37,4,0)," ")</f>
        <v>20240255</v>
      </c>
      <c r="S810" s="252" t="s">
        <v>175</v>
      </c>
      <c r="T810" s="254" t="str">
        <f>IFERROR(VLOOKUP(S810,TD!$J$34:$K$44,2,0)," ")</f>
        <v>Servicio de atención a incidentes y emergencias.</v>
      </c>
      <c r="U810" s="252" t="str">
        <f>CONCATENATE(S810,"-",T810)</f>
        <v>04-Servicio de atención a incidentes y emergencias.</v>
      </c>
      <c r="V810" s="252" t="s">
        <v>232</v>
      </c>
      <c r="W810" s="254" t="str">
        <f>IFERROR(VLOOKUP(V810,TD!$N$34:$O$46,2,0)," ")</f>
        <v>Servicio de atención a emergencias y desastres</v>
      </c>
      <c r="X810" s="295" t="str">
        <f>CONCATENATE(V810,"_",W810)</f>
        <v>004_Servicio de atención a emergencias y desastres</v>
      </c>
      <c r="Y810" s="295" t="str">
        <f>CONCATENATE(U810," ",X810)</f>
        <v>04-Servicio de atención a incidentes y emergencias. 004_Servicio de atención a emergencias y desastres</v>
      </c>
      <c r="Z810" s="294" t="str">
        <f>CONCATENATE(P810,Q810,R810,S810,V810)</f>
        <v>O23011745032024025504004</v>
      </c>
      <c r="AA810" s="294" t="str">
        <f>IFERROR(VLOOKUP(Y810,TD!$K$47:$L$65,2,0)," ")</f>
        <v>PM/0131/0104/45030040255</v>
      </c>
      <c r="AB810" s="141" t="s">
        <v>138</v>
      </c>
      <c r="AC810" s="297" t="s">
        <v>205</v>
      </c>
    </row>
    <row r="811" spans="2:29" ht="70" x14ac:dyDescent="0.35">
      <c r="B811" s="137">
        <v>20250897</v>
      </c>
      <c r="C811" s="138" t="s">
        <v>209</v>
      </c>
      <c r="D811" s="292" t="s">
        <v>169</v>
      </c>
      <c r="E811" s="295" t="s">
        <v>465</v>
      </c>
      <c r="F811" s="292" t="s">
        <v>1058</v>
      </c>
      <c r="G811" s="292" t="s">
        <v>155</v>
      </c>
      <c r="H811" s="139">
        <v>80111600</v>
      </c>
      <c r="I811" s="293">
        <v>12</v>
      </c>
      <c r="J811" s="293">
        <v>0</v>
      </c>
      <c r="K811" s="140">
        <v>13</v>
      </c>
      <c r="L811" s="141">
        <v>2166667</v>
      </c>
      <c r="M811" s="158" t="s">
        <v>464</v>
      </c>
      <c r="N811" s="141" t="s">
        <v>113</v>
      </c>
      <c r="O811" s="252" t="s">
        <v>222</v>
      </c>
      <c r="P811" s="294" t="str">
        <f>IFERROR(VLOOKUP(C811,TD!$B$33:$F$37,2,0)," ")</f>
        <v>O230117</v>
      </c>
      <c r="Q811" s="294" t="str">
        <f>IFERROR(VLOOKUP(C811,TD!$B$33:$F$37,3,0)," ")</f>
        <v>4503</v>
      </c>
      <c r="R811" s="294">
        <f>IFERROR(VLOOKUP(C811,TD!$B$33:$F$37,4,0)," ")</f>
        <v>20240255</v>
      </c>
      <c r="S811" s="252" t="s">
        <v>175</v>
      </c>
      <c r="T811" s="254" t="str">
        <f>IFERROR(VLOOKUP(S811,TD!$J$34:$K$44,2,0)," ")</f>
        <v>Servicio de atención a incidentes y emergencias.</v>
      </c>
      <c r="U811" s="252" t="str">
        <f>CONCATENATE(S811,"-",T811)</f>
        <v>04-Servicio de atención a incidentes y emergencias.</v>
      </c>
      <c r="V811" s="252" t="s">
        <v>232</v>
      </c>
      <c r="W811" s="254" t="str">
        <f>IFERROR(VLOOKUP(V811,TD!$N$34:$O$46,2,0)," ")</f>
        <v>Servicio de atención a emergencias y desastres</v>
      </c>
      <c r="X811" s="295" t="str">
        <f>CONCATENATE(V811,"_",W811)</f>
        <v>004_Servicio de atención a emergencias y desastres</v>
      </c>
      <c r="Y811" s="295" t="str">
        <f>CONCATENATE(U811," ",X811)</f>
        <v>04-Servicio de atención a incidentes y emergencias. 004_Servicio de atención a emergencias y desastres</v>
      </c>
      <c r="Z811" s="294" t="str">
        <f>CONCATENATE(P811,Q811,R811,S811,V811)</f>
        <v>O23011745032024025504004</v>
      </c>
      <c r="AA811" s="294" t="str">
        <f>IFERROR(VLOOKUP(Y811,TD!$K$47:$L$65,2,0)," ")</f>
        <v>PM/0131/0104/45030040255</v>
      </c>
      <c r="AB811" s="141" t="s">
        <v>138</v>
      </c>
      <c r="AC811" s="297" t="s">
        <v>205</v>
      </c>
    </row>
    <row r="812" spans="2:29" ht="56" x14ac:dyDescent="0.35">
      <c r="B812" s="137">
        <v>20250898</v>
      </c>
      <c r="C812" s="138" t="s">
        <v>209</v>
      </c>
      <c r="D812" s="292" t="s">
        <v>169</v>
      </c>
      <c r="E812" s="295" t="s">
        <v>465</v>
      </c>
      <c r="F812" s="292" t="s">
        <v>1059</v>
      </c>
      <c r="G812" s="292" t="s">
        <v>155</v>
      </c>
      <c r="H812" s="139">
        <v>80111600</v>
      </c>
      <c r="I812" s="293">
        <v>12</v>
      </c>
      <c r="J812" s="293">
        <v>0</v>
      </c>
      <c r="K812" s="140">
        <v>9</v>
      </c>
      <c r="L812" s="141">
        <v>1075785</v>
      </c>
      <c r="M812" s="158" t="s">
        <v>464</v>
      </c>
      <c r="N812" s="141" t="s">
        <v>113</v>
      </c>
      <c r="O812" s="252" t="s">
        <v>222</v>
      </c>
      <c r="P812" s="294" t="str">
        <f>IFERROR(VLOOKUP(C812,TD!$B$33:$F$37,2,0)," ")</f>
        <v>O230117</v>
      </c>
      <c r="Q812" s="294" t="str">
        <f>IFERROR(VLOOKUP(C812,TD!$B$33:$F$37,3,0)," ")</f>
        <v>4503</v>
      </c>
      <c r="R812" s="294">
        <f>IFERROR(VLOOKUP(C812,TD!$B$33:$F$37,4,0)," ")</f>
        <v>20240255</v>
      </c>
      <c r="S812" s="252" t="s">
        <v>175</v>
      </c>
      <c r="T812" s="254" t="str">
        <f>IFERROR(VLOOKUP(S812,TD!$J$34:$K$44,2,0)," ")</f>
        <v>Servicio de atención a incidentes y emergencias.</v>
      </c>
      <c r="U812" s="252" t="str">
        <f>CONCATENATE(S812,"-",T812)</f>
        <v>04-Servicio de atención a incidentes y emergencias.</v>
      </c>
      <c r="V812" s="252" t="s">
        <v>232</v>
      </c>
      <c r="W812" s="254" t="str">
        <f>IFERROR(VLOOKUP(V812,TD!$N$34:$O$46,2,0)," ")</f>
        <v>Servicio de atención a emergencias y desastres</v>
      </c>
      <c r="X812" s="295" t="str">
        <f>CONCATENATE(V812,"_",W812)</f>
        <v>004_Servicio de atención a emergencias y desastres</v>
      </c>
      <c r="Y812" s="295" t="str">
        <f>CONCATENATE(U812," ",X812)</f>
        <v>04-Servicio de atención a incidentes y emergencias. 004_Servicio de atención a emergencias y desastres</v>
      </c>
      <c r="Z812" s="294" t="str">
        <f>CONCATENATE(P812,Q812,R812,S812,V812)</f>
        <v>O23011745032024025504004</v>
      </c>
      <c r="AA812" s="294" t="str">
        <f>IFERROR(VLOOKUP(Y812,TD!$K$47:$L$65,2,0)," ")</f>
        <v>PM/0131/0104/45030040255</v>
      </c>
      <c r="AB812" s="141" t="s">
        <v>138</v>
      </c>
      <c r="AC812" s="297" t="s">
        <v>205</v>
      </c>
    </row>
    <row r="813" spans="2:29" ht="56" x14ac:dyDescent="0.35">
      <c r="B813" s="137">
        <v>20250899</v>
      </c>
      <c r="C813" s="138" t="s">
        <v>209</v>
      </c>
      <c r="D813" s="292" t="s">
        <v>169</v>
      </c>
      <c r="E813" s="295" t="s">
        <v>465</v>
      </c>
      <c r="F813" s="292" t="s">
        <v>1060</v>
      </c>
      <c r="G813" s="292" t="s">
        <v>155</v>
      </c>
      <c r="H813" s="139">
        <v>80111600</v>
      </c>
      <c r="I813" s="293">
        <v>12</v>
      </c>
      <c r="J813" s="293">
        <v>0</v>
      </c>
      <c r="K813" s="140">
        <v>21</v>
      </c>
      <c r="L813" s="141">
        <v>4900000</v>
      </c>
      <c r="M813" s="158" t="s">
        <v>464</v>
      </c>
      <c r="N813" s="141" t="s">
        <v>113</v>
      </c>
      <c r="O813" s="252" t="s">
        <v>222</v>
      </c>
      <c r="P813" s="294" t="str">
        <f>IFERROR(VLOOKUP(C813,TD!$B$33:$F$37,2,0)," ")</f>
        <v>O230117</v>
      </c>
      <c r="Q813" s="294" t="str">
        <f>IFERROR(VLOOKUP(C813,TD!$B$33:$F$37,3,0)," ")</f>
        <v>4503</v>
      </c>
      <c r="R813" s="294">
        <f>IFERROR(VLOOKUP(C813,TD!$B$33:$F$37,4,0)," ")</f>
        <v>20240255</v>
      </c>
      <c r="S813" s="252" t="s">
        <v>175</v>
      </c>
      <c r="T813" s="254" t="str">
        <f>IFERROR(VLOOKUP(S813,TD!$J$34:$K$44,2,0)," ")</f>
        <v>Servicio de atención a incidentes y emergencias.</v>
      </c>
      <c r="U813" s="252" t="str">
        <f>CONCATENATE(S813,"-",T813)</f>
        <v>04-Servicio de atención a incidentes y emergencias.</v>
      </c>
      <c r="V813" s="252" t="s">
        <v>232</v>
      </c>
      <c r="W813" s="254" t="str">
        <f>IFERROR(VLOOKUP(V813,TD!$N$34:$O$46,2,0)," ")</f>
        <v>Servicio de atención a emergencias y desastres</v>
      </c>
      <c r="X813" s="295" t="str">
        <f>CONCATENATE(V813,"_",W813)</f>
        <v>004_Servicio de atención a emergencias y desastres</v>
      </c>
      <c r="Y813" s="295" t="str">
        <f>CONCATENATE(U813," ",X813)</f>
        <v>04-Servicio de atención a incidentes y emergencias. 004_Servicio de atención a emergencias y desastres</v>
      </c>
      <c r="Z813" s="294" t="str">
        <f>CONCATENATE(P813,Q813,R813,S813,V813)</f>
        <v>O23011745032024025504004</v>
      </c>
      <c r="AA813" s="294" t="str">
        <f>IFERROR(VLOOKUP(Y813,TD!$K$47:$L$65,2,0)," ")</f>
        <v>PM/0131/0104/45030040255</v>
      </c>
      <c r="AB813" s="141" t="s">
        <v>138</v>
      </c>
      <c r="AC813" s="297" t="s">
        <v>205</v>
      </c>
    </row>
    <row r="814" spans="2:29" ht="56" x14ac:dyDescent="0.35">
      <c r="B814" s="137">
        <v>20250900</v>
      </c>
      <c r="C814" s="138" t="s">
        <v>209</v>
      </c>
      <c r="D814" s="292" t="s">
        <v>169</v>
      </c>
      <c r="E814" s="295" t="s">
        <v>465</v>
      </c>
      <c r="F814" s="292" t="s">
        <v>1061</v>
      </c>
      <c r="G814" s="292" t="s">
        <v>155</v>
      </c>
      <c r="H814" s="139">
        <v>80111600</v>
      </c>
      <c r="I814" s="293">
        <v>12</v>
      </c>
      <c r="J814" s="293">
        <v>0</v>
      </c>
      <c r="K814" s="140">
        <v>5</v>
      </c>
      <c r="L814" s="141">
        <v>533333</v>
      </c>
      <c r="M814" s="158" t="s">
        <v>464</v>
      </c>
      <c r="N814" s="141" t="s">
        <v>113</v>
      </c>
      <c r="O814" s="252" t="s">
        <v>222</v>
      </c>
      <c r="P814" s="294" t="str">
        <f>IFERROR(VLOOKUP(C814,TD!$B$33:$F$37,2,0)," ")</f>
        <v>O230117</v>
      </c>
      <c r="Q814" s="294" t="str">
        <f>IFERROR(VLOOKUP(C814,TD!$B$33:$F$37,3,0)," ")</f>
        <v>4503</v>
      </c>
      <c r="R814" s="294">
        <f>IFERROR(VLOOKUP(C814,TD!$B$33:$F$37,4,0)," ")</f>
        <v>20240255</v>
      </c>
      <c r="S814" s="252" t="s">
        <v>175</v>
      </c>
      <c r="T814" s="254" t="str">
        <f>IFERROR(VLOOKUP(S814,TD!$J$34:$K$44,2,0)," ")</f>
        <v>Servicio de atención a incidentes y emergencias.</v>
      </c>
      <c r="U814" s="252" t="str">
        <f>CONCATENATE(S814,"-",T814)</f>
        <v>04-Servicio de atención a incidentes y emergencias.</v>
      </c>
      <c r="V814" s="252" t="s">
        <v>232</v>
      </c>
      <c r="W814" s="254" t="str">
        <f>IFERROR(VLOOKUP(V814,TD!$N$34:$O$46,2,0)," ")</f>
        <v>Servicio de atención a emergencias y desastres</v>
      </c>
      <c r="X814" s="295" t="str">
        <f>CONCATENATE(V814,"_",W814)</f>
        <v>004_Servicio de atención a emergencias y desastres</v>
      </c>
      <c r="Y814" s="295" t="str">
        <f>CONCATENATE(U814," ",X814)</f>
        <v>04-Servicio de atención a incidentes y emergencias. 004_Servicio de atención a emergencias y desastres</v>
      </c>
      <c r="Z814" s="294" t="str">
        <f>CONCATENATE(P814,Q814,R814,S814,V814)</f>
        <v>O23011745032024025504004</v>
      </c>
      <c r="AA814" s="294" t="str">
        <f>IFERROR(VLOOKUP(Y814,TD!$K$47:$L$65,2,0)," ")</f>
        <v>PM/0131/0104/45030040255</v>
      </c>
      <c r="AB814" s="141" t="s">
        <v>138</v>
      </c>
      <c r="AC814" s="297" t="s">
        <v>205</v>
      </c>
    </row>
    <row r="815" spans="2:29" ht="56" x14ac:dyDescent="0.35">
      <c r="B815" s="137">
        <v>20250902</v>
      </c>
      <c r="C815" s="138" t="s">
        <v>209</v>
      </c>
      <c r="D815" s="292" t="s">
        <v>169</v>
      </c>
      <c r="E815" s="295" t="s">
        <v>465</v>
      </c>
      <c r="F815" s="292" t="s">
        <v>1062</v>
      </c>
      <c r="G815" s="292" t="s">
        <v>155</v>
      </c>
      <c r="H815" s="139">
        <v>80111600</v>
      </c>
      <c r="I815" s="293">
        <v>12</v>
      </c>
      <c r="J815" s="293">
        <v>0</v>
      </c>
      <c r="K815" s="140">
        <v>10</v>
      </c>
      <c r="L815" s="141">
        <v>2333333</v>
      </c>
      <c r="M815" s="158" t="s">
        <v>464</v>
      </c>
      <c r="N815" s="141" t="s">
        <v>113</v>
      </c>
      <c r="O815" s="252" t="s">
        <v>222</v>
      </c>
      <c r="P815" s="294" t="str">
        <f>IFERROR(VLOOKUP(C815,TD!$B$33:$F$37,2,0)," ")</f>
        <v>O230117</v>
      </c>
      <c r="Q815" s="294" t="str">
        <f>IFERROR(VLOOKUP(C815,TD!$B$33:$F$37,3,0)," ")</f>
        <v>4503</v>
      </c>
      <c r="R815" s="294">
        <f>IFERROR(VLOOKUP(C815,TD!$B$33:$F$37,4,0)," ")</f>
        <v>20240255</v>
      </c>
      <c r="S815" s="252" t="s">
        <v>175</v>
      </c>
      <c r="T815" s="254" t="str">
        <f>IFERROR(VLOOKUP(S815,TD!$J$34:$K$44,2,0)," ")</f>
        <v>Servicio de atención a incidentes y emergencias.</v>
      </c>
      <c r="U815" s="252" t="str">
        <f>CONCATENATE(S815,"-",T815)</f>
        <v>04-Servicio de atención a incidentes y emergencias.</v>
      </c>
      <c r="V815" s="252" t="s">
        <v>232</v>
      </c>
      <c r="W815" s="254" t="str">
        <f>IFERROR(VLOOKUP(V815,TD!$N$34:$O$46,2,0)," ")</f>
        <v>Servicio de atención a emergencias y desastres</v>
      </c>
      <c r="X815" s="295" t="str">
        <f>CONCATENATE(V815,"_",W815)</f>
        <v>004_Servicio de atención a emergencias y desastres</v>
      </c>
      <c r="Y815" s="295" t="str">
        <f>CONCATENATE(U815," ",X815)</f>
        <v>04-Servicio de atención a incidentes y emergencias. 004_Servicio de atención a emergencias y desastres</v>
      </c>
      <c r="Z815" s="294" t="str">
        <f>CONCATENATE(P815,Q815,R815,S815,V815)</f>
        <v>O23011745032024025504004</v>
      </c>
      <c r="AA815" s="294" t="str">
        <f>IFERROR(VLOOKUP(Y815,TD!$K$47:$L$65,2,0)," ")</f>
        <v>PM/0131/0104/45030040255</v>
      </c>
      <c r="AB815" s="141" t="s">
        <v>138</v>
      </c>
      <c r="AC815" s="297" t="s">
        <v>205</v>
      </c>
    </row>
    <row r="816" spans="2:29" ht="42" x14ac:dyDescent="0.35">
      <c r="B816" s="137">
        <v>20250903</v>
      </c>
      <c r="C816" s="138" t="s">
        <v>209</v>
      </c>
      <c r="D816" s="292" t="s">
        <v>169</v>
      </c>
      <c r="E816" s="295" t="s">
        <v>465</v>
      </c>
      <c r="F816" s="292" t="s">
        <v>1063</v>
      </c>
      <c r="G816" s="292" t="s">
        <v>155</v>
      </c>
      <c r="H816" s="139">
        <v>80111600</v>
      </c>
      <c r="I816" s="293">
        <v>12</v>
      </c>
      <c r="J816" s="293">
        <v>0</v>
      </c>
      <c r="K816" s="140">
        <v>14</v>
      </c>
      <c r="L816" s="141">
        <v>1673443</v>
      </c>
      <c r="M816" s="158" t="s">
        <v>464</v>
      </c>
      <c r="N816" s="141" t="s">
        <v>113</v>
      </c>
      <c r="O816" s="252" t="s">
        <v>222</v>
      </c>
      <c r="P816" s="294" t="str">
        <f>IFERROR(VLOOKUP(C816,TD!$B$33:$F$37,2,0)," ")</f>
        <v>O230117</v>
      </c>
      <c r="Q816" s="294" t="str">
        <f>IFERROR(VLOOKUP(C816,TD!$B$33:$F$37,3,0)," ")</f>
        <v>4503</v>
      </c>
      <c r="R816" s="294">
        <f>IFERROR(VLOOKUP(C816,TD!$B$33:$F$37,4,0)," ")</f>
        <v>20240255</v>
      </c>
      <c r="S816" s="252" t="s">
        <v>175</v>
      </c>
      <c r="T816" s="254" t="str">
        <f>IFERROR(VLOOKUP(S816,TD!$J$34:$K$44,2,0)," ")</f>
        <v>Servicio de atención a incidentes y emergencias.</v>
      </c>
      <c r="U816" s="252" t="str">
        <f>CONCATENATE(S816,"-",T816)</f>
        <v>04-Servicio de atención a incidentes y emergencias.</v>
      </c>
      <c r="V816" s="252" t="s">
        <v>232</v>
      </c>
      <c r="W816" s="254" t="str">
        <f>IFERROR(VLOOKUP(V816,TD!$N$34:$O$46,2,0)," ")</f>
        <v>Servicio de atención a emergencias y desastres</v>
      </c>
      <c r="X816" s="295" t="str">
        <f>CONCATENATE(V816,"_",W816)</f>
        <v>004_Servicio de atención a emergencias y desastres</v>
      </c>
      <c r="Y816" s="295" t="str">
        <f>CONCATENATE(U816," ",X816)</f>
        <v>04-Servicio de atención a incidentes y emergencias. 004_Servicio de atención a emergencias y desastres</v>
      </c>
      <c r="Z816" s="294" t="str">
        <f>CONCATENATE(P816,Q816,R816,S816,V816)</f>
        <v>O23011745032024025504004</v>
      </c>
      <c r="AA816" s="294" t="str">
        <f>IFERROR(VLOOKUP(Y816,TD!$K$47:$L$65,2,0)," ")</f>
        <v>PM/0131/0104/45030040255</v>
      </c>
      <c r="AB816" s="141" t="s">
        <v>138</v>
      </c>
      <c r="AC816" s="297" t="s">
        <v>205</v>
      </c>
    </row>
    <row r="817" spans="2:29" ht="42" x14ac:dyDescent="0.35">
      <c r="B817" s="132">
        <v>20250904</v>
      </c>
      <c r="C817" s="133" t="s">
        <v>209</v>
      </c>
      <c r="D817" s="298" t="s">
        <v>167</v>
      </c>
      <c r="E817" s="302" t="s">
        <v>505</v>
      </c>
      <c r="F817" s="298" t="s">
        <v>1091</v>
      </c>
      <c r="G817" s="298" t="s">
        <v>155</v>
      </c>
      <c r="H817" s="134">
        <v>80111600</v>
      </c>
      <c r="I817" s="299">
        <v>9</v>
      </c>
      <c r="J817" s="299">
        <v>3</v>
      </c>
      <c r="K817" s="135">
        <v>15</v>
      </c>
      <c r="L817" s="131">
        <v>31850000</v>
      </c>
      <c r="M817" s="142" t="s">
        <v>464</v>
      </c>
      <c r="N817" s="131" t="s">
        <v>113</v>
      </c>
      <c r="O817" s="252" t="s">
        <v>221</v>
      </c>
      <c r="P817" s="300" t="str">
        <f>IFERROR(VLOOKUP(C817,TD!$B$33:$F$37,2,0)," ")</f>
        <v>O230117</v>
      </c>
      <c r="Q817" s="300" t="str">
        <f>IFERROR(VLOOKUP(C817,TD!$B$33:$F$37,3,0)," ")</f>
        <v>4503</v>
      </c>
      <c r="R817" s="300">
        <f>IFERROR(VLOOKUP(C817,TD!$B$33:$F$37,4,0)," ")</f>
        <v>20240255</v>
      </c>
      <c r="S817" s="252" t="s">
        <v>181</v>
      </c>
      <c r="T817" s="254" t="str">
        <f>IFERROR(VLOOKUP(S817,TD!$J$34:$K$44,2,0)," ")</f>
        <v>Servicio de inspecciones técnicas realizadas</v>
      </c>
      <c r="U817" s="252" t="str">
        <f>CONCATENATE(S817,"-",T817)</f>
        <v>06-Servicio de inspecciones técnicas realizadas</v>
      </c>
      <c r="V817" s="252" t="s">
        <v>234</v>
      </c>
      <c r="W817" s="254" t="str">
        <f>IFERROR(VLOOKUP(V817,TD!$N$34:$O$46,2,0)," ")</f>
        <v>Servicio prevención y control de incendios</v>
      </c>
      <c r="X817" s="296" t="str">
        <f>CONCATENATE(V817,"_",W817)</f>
        <v>035_Servicio prevención y control de incendios</v>
      </c>
      <c r="Y817" s="296" t="str">
        <f>CONCATENATE(U817," ",X817)</f>
        <v>06-Servicio de inspecciones técnicas realizadas 035_Servicio prevención y control de incendios</v>
      </c>
      <c r="Z817" s="300" t="str">
        <f>CONCATENATE(P817,Q817,R817,S817,V817)</f>
        <v>O23011745032024025506035</v>
      </c>
      <c r="AA817" s="300" t="str">
        <f>IFERROR(VLOOKUP(Y817,TD!$K$47:$L$65,2,0)," ")</f>
        <v>PM/0131/0106/45030350255</v>
      </c>
      <c r="AB817" s="131" t="s">
        <v>138</v>
      </c>
      <c r="AC817" s="301" t="s">
        <v>205</v>
      </c>
    </row>
    <row r="818" spans="2:29" ht="42" x14ac:dyDescent="0.35">
      <c r="B818" s="132">
        <v>20250905</v>
      </c>
      <c r="C818" s="133" t="s">
        <v>209</v>
      </c>
      <c r="D818" s="298" t="s">
        <v>167</v>
      </c>
      <c r="E818" s="302" t="s">
        <v>505</v>
      </c>
      <c r="F818" s="298" t="s">
        <v>1065</v>
      </c>
      <c r="G818" s="298" t="s">
        <v>155</v>
      </c>
      <c r="H818" s="134">
        <v>80111600</v>
      </c>
      <c r="I818" s="299">
        <v>10</v>
      </c>
      <c r="J818" s="299">
        <v>3</v>
      </c>
      <c r="K818" s="135">
        <v>0</v>
      </c>
      <c r="L818" s="131">
        <v>21000000</v>
      </c>
      <c r="M818" s="142" t="s">
        <v>464</v>
      </c>
      <c r="N818" s="131" t="s">
        <v>113</v>
      </c>
      <c r="O818" s="252" t="s">
        <v>221</v>
      </c>
      <c r="P818" s="300" t="str">
        <f>IFERROR(VLOOKUP(C818,TD!$B$33:$F$37,2,0)," ")</f>
        <v>O230117</v>
      </c>
      <c r="Q818" s="300" t="str">
        <f>IFERROR(VLOOKUP(C818,TD!$B$33:$F$37,3,0)," ")</f>
        <v>4503</v>
      </c>
      <c r="R818" s="300">
        <f>IFERROR(VLOOKUP(C818,TD!$B$33:$F$37,4,0)," ")</f>
        <v>20240255</v>
      </c>
      <c r="S818" s="252" t="s">
        <v>177</v>
      </c>
      <c r="T818" s="254" t="str">
        <f>IFERROR(VLOOKUP(S818,TD!$J$34:$K$44,2,0)," ")</f>
        <v>Servicio de capacitaciones en gestión del riesgo de incendios  a la ciudadania.</v>
      </c>
      <c r="U818" s="252" t="str">
        <f>CONCATENATE(S818,"-",T818)</f>
        <v>05-Servicio de capacitaciones en gestión del riesgo de incendios  a la ciudadania.</v>
      </c>
      <c r="V818" s="252" t="s">
        <v>233</v>
      </c>
      <c r="W818" s="254" t="str">
        <f>IFERROR(VLOOKUP(V818,TD!$N$34:$O$46,2,0)," ")</f>
        <v>Servicio de educación informal</v>
      </c>
      <c r="X818" s="296" t="str">
        <f>CONCATENATE(V818,"_",W818)</f>
        <v>002_Servicio de educación informal</v>
      </c>
      <c r="Y818" s="296" t="str">
        <f>CONCATENATE(U818," ",X818)</f>
        <v>05-Servicio de capacitaciones en gestión del riesgo de incendios  a la ciudadania. 002_Servicio de educación informal</v>
      </c>
      <c r="Z818" s="300" t="str">
        <f>CONCATENATE(P818,Q818,R818,S818,V818)</f>
        <v>O23011745032024025505002</v>
      </c>
      <c r="AA818" s="300" t="str">
        <f>IFERROR(VLOOKUP(Y818,TD!$K$47:$L$65,2,0)," ")</f>
        <v>PM/0131/0105/45030020255</v>
      </c>
      <c r="AB818" s="131" t="s">
        <v>138</v>
      </c>
      <c r="AC818" s="301" t="s">
        <v>205</v>
      </c>
    </row>
    <row r="819" spans="2:29" ht="56" x14ac:dyDescent="0.35">
      <c r="B819" s="132">
        <v>20250906</v>
      </c>
      <c r="C819" s="133" t="s">
        <v>209</v>
      </c>
      <c r="D819" s="298" t="s">
        <v>167</v>
      </c>
      <c r="E819" s="302" t="s">
        <v>505</v>
      </c>
      <c r="F819" s="246" t="s">
        <v>1066</v>
      </c>
      <c r="G819" s="246" t="s">
        <v>155</v>
      </c>
      <c r="H819" s="93">
        <v>80111600</v>
      </c>
      <c r="I819" s="247">
        <v>11</v>
      </c>
      <c r="J819" s="247">
        <v>1</v>
      </c>
      <c r="K819" s="52">
        <v>0</v>
      </c>
      <c r="L819" s="53">
        <v>5000000</v>
      </c>
      <c r="M819" s="142" t="s">
        <v>464</v>
      </c>
      <c r="N819" s="131" t="s">
        <v>113</v>
      </c>
      <c r="O819" s="252" t="s">
        <v>221</v>
      </c>
      <c r="P819" s="248" t="str">
        <f>IFERROR(VLOOKUP(C819,TD!$B$33:$F$37,2,0)," ")</f>
        <v>O230117</v>
      </c>
      <c r="Q819" s="248" t="str">
        <f>IFERROR(VLOOKUP(C819,TD!$B$33:$F$37,3,0)," ")</f>
        <v>4503</v>
      </c>
      <c r="R819" s="248">
        <f>IFERROR(VLOOKUP(C819,TD!$B$33:$F$37,4,0)," ")</f>
        <v>20240255</v>
      </c>
      <c r="S819" s="252" t="s">
        <v>177</v>
      </c>
      <c r="T819" s="254" t="str">
        <f>IFERROR(VLOOKUP(S819,TD!$J$34:$K$44,2,0)," ")</f>
        <v>Servicio de capacitaciones en gestión del riesgo de incendios  a la ciudadania.</v>
      </c>
      <c r="U819" s="252" t="str">
        <f>CONCATENATE(S819,"-",T819)</f>
        <v>05-Servicio de capacitaciones en gestión del riesgo de incendios  a la ciudadania.</v>
      </c>
      <c r="V819" s="252" t="s">
        <v>233</v>
      </c>
      <c r="W819" s="254" t="str">
        <f>IFERROR(VLOOKUP(V819,TD!$N$34:$O$46,2,0)," ")</f>
        <v>Servicio de educación informal</v>
      </c>
      <c r="X819" s="249" t="str">
        <f>CONCATENATE(V819,"_",W819)</f>
        <v>002_Servicio de educación informal</v>
      </c>
      <c r="Y819" s="249" t="str">
        <f>CONCATENATE(U819," ",X819)</f>
        <v>05-Servicio de capacitaciones en gestión del riesgo de incendios  a la ciudadania. 002_Servicio de educación informal</v>
      </c>
      <c r="Z819" s="248" t="str">
        <f>CONCATENATE(P819,Q819,R819,S819,V819)</f>
        <v>O23011745032024025505002</v>
      </c>
      <c r="AA819" s="248" t="str">
        <f>IFERROR(VLOOKUP(Y819,TD!$K$47:$L$65,2,0)," ")</f>
        <v>PM/0131/0105/45030020255</v>
      </c>
      <c r="AB819" s="131" t="s">
        <v>138</v>
      </c>
      <c r="AC819" s="301" t="s">
        <v>205</v>
      </c>
    </row>
    <row r="820" spans="2:29" ht="56" x14ac:dyDescent="0.35">
      <c r="B820" s="132">
        <v>20250907</v>
      </c>
      <c r="C820" s="133" t="s">
        <v>209</v>
      </c>
      <c r="D820" s="298" t="s">
        <v>167</v>
      </c>
      <c r="E820" s="302" t="s">
        <v>505</v>
      </c>
      <c r="F820" s="246" t="s">
        <v>1067</v>
      </c>
      <c r="G820" s="246" t="s">
        <v>156</v>
      </c>
      <c r="H820" s="93">
        <v>80111600</v>
      </c>
      <c r="I820" s="247">
        <v>12</v>
      </c>
      <c r="J820" s="247">
        <v>1</v>
      </c>
      <c r="K820" s="52">
        <v>0</v>
      </c>
      <c r="L820" s="53">
        <v>3750000</v>
      </c>
      <c r="M820" s="142" t="s">
        <v>464</v>
      </c>
      <c r="N820" s="131" t="s">
        <v>113</v>
      </c>
      <c r="O820" s="252" t="s">
        <v>221</v>
      </c>
      <c r="P820" s="248" t="str">
        <f>IFERROR(VLOOKUP(C820,TD!$B$33:$F$37,2,0)," ")</f>
        <v>O230117</v>
      </c>
      <c r="Q820" s="248" t="str">
        <f>IFERROR(VLOOKUP(C820,TD!$B$33:$F$37,3,0)," ")</f>
        <v>4503</v>
      </c>
      <c r="R820" s="248">
        <f>IFERROR(VLOOKUP(C820,TD!$B$33:$F$37,4,0)," ")</f>
        <v>20240255</v>
      </c>
      <c r="S820" s="252" t="s">
        <v>179</v>
      </c>
      <c r="T820" s="254" t="str">
        <f>IFERROR(VLOOKUP(S820,TD!$J$34:$K$44,2,0)," ")</f>
        <v>Infraestructura Tecnológica   (Sistemas de Información y Tecnologia)</v>
      </c>
      <c r="U820" s="252" t="str">
        <f>CONCATENATE(S820,"-",T820)</f>
        <v>11-Infraestructura Tecnológica   (Sistemas de Información y Tecnologia)</v>
      </c>
      <c r="V820" s="252" t="s">
        <v>235</v>
      </c>
      <c r="W820" s="254" t="str">
        <f>IFERROR(VLOOKUP(V820,TD!$N$34:$O$46,2,0)," ")</f>
        <v>"Servicio de monitoreo y seguimiento para la gestión del riesgo"</v>
      </c>
      <c r="X820" s="249" t="str">
        <f>CONCATENATE(V820,"_",W820)</f>
        <v>018_"Servicio de monitoreo y seguimiento para la gestión del riesgo"</v>
      </c>
      <c r="Y820" s="249" t="str">
        <f>CONCATENATE(U820," ",X820)</f>
        <v>11-Infraestructura Tecnológica   (Sistemas de Información y Tecnologia) 018_"Servicio de monitoreo y seguimiento para la gestión del riesgo"</v>
      </c>
      <c r="Z820" s="248" t="str">
        <f>CONCATENATE(P820,Q820,R820,S820,V820)</f>
        <v>O23011745032024025511018</v>
      </c>
      <c r="AA820" s="248" t="str">
        <f>IFERROR(VLOOKUP(Y820,TD!$K$47:$L$65,2,0)," ")</f>
        <v>PM/0131/0111/45030180255</v>
      </c>
      <c r="AB820" s="131" t="s">
        <v>138</v>
      </c>
      <c r="AC820" s="301" t="s">
        <v>205</v>
      </c>
    </row>
    <row r="821" spans="2:29" ht="42" x14ac:dyDescent="0.35">
      <c r="B821" s="132">
        <v>20250908</v>
      </c>
      <c r="C821" s="133" t="s">
        <v>209</v>
      </c>
      <c r="D821" s="298" t="s">
        <v>167</v>
      </c>
      <c r="E821" s="302" t="s">
        <v>505</v>
      </c>
      <c r="F821" s="246" t="s">
        <v>1068</v>
      </c>
      <c r="G821" s="246" t="s">
        <v>155</v>
      </c>
      <c r="H821" s="93">
        <v>80111600</v>
      </c>
      <c r="I821" s="247">
        <v>12</v>
      </c>
      <c r="J821" s="247">
        <v>1</v>
      </c>
      <c r="K821" s="52">
        <v>0</v>
      </c>
      <c r="L821" s="53">
        <v>8000000</v>
      </c>
      <c r="M821" s="142" t="s">
        <v>464</v>
      </c>
      <c r="N821" s="131" t="s">
        <v>113</v>
      </c>
      <c r="O821" s="252" t="s">
        <v>225</v>
      </c>
      <c r="P821" s="248" t="str">
        <f>IFERROR(VLOOKUP(C821,TD!$B$33:$F$37,2,0)," ")</f>
        <v>O230117</v>
      </c>
      <c r="Q821" s="248" t="str">
        <f>IFERROR(VLOOKUP(C821,TD!$B$33:$F$37,3,0)," ")</f>
        <v>4503</v>
      </c>
      <c r="R821" s="248">
        <f>IFERROR(VLOOKUP(C821,TD!$B$33:$F$37,4,0)," ")</f>
        <v>20240255</v>
      </c>
      <c r="S821" s="252" t="s">
        <v>179</v>
      </c>
      <c r="T821" s="254" t="str">
        <f>IFERROR(VLOOKUP(S821,TD!$J$34:$K$44,2,0)," ")</f>
        <v>Infraestructura Tecnológica   (Sistemas de Información y Tecnologia)</v>
      </c>
      <c r="U821" s="252" t="str">
        <f>CONCATENATE(S821,"-",T821)</f>
        <v>11-Infraestructura Tecnológica   (Sistemas de Información y Tecnologia)</v>
      </c>
      <c r="V821" s="252" t="s">
        <v>235</v>
      </c>
      <c r="W821" s="254" t="str">
        <f>IFERROR(VLOOKUP(V821,TD!$N$34:$O$46,2,0)," ")</f>
        <v>"Servicio de monitoreo y seguimiento para la gestión del riesgo"</v>
      </c>
      <c r="X821" s="249" t="str">
        <f>CONCATENATE(V821,"_",W821)</f>
        <v>018_"Servicio de monitoreo y seguimiento para la gestión del riesgo"</v>
      </c>
      <c r="Y821" s="249" t="str">
        <f>CONCATENATE(U821," ",X821)</f>
        <v>11-Infraestructura Tecnológica   (Sistemas de Información y Tecnologia) 018_"Servicio de monitoreo y seguimiento para la gestión del riesgo"</v>
      </c>
      <c r="Z821" s="248" t="str">
        <f>CONCATENATE(P821,Q821,R821,S821,V821)</f>
        <v>O23011745032024025511018</v>
      </c>
      <c r="AA821" s="248" t="str">
        <f>IFERROR(VLOOKUP(Y821,TD!$K$47:$L$65,2,0)," ")</f>
        <v>PM/0131/0111/45030180255</v>
      </c>
      <c r="AB821" s="131" t="s">
        <v>138</v>
      </c>
      <c r="AC821" s="301" t="s">
        <v>205</v>
      </c>
    </row>
    <row r="822" spans="2:29" ht="42" x14ac:dyDescent="0.35">
      <c r="B822" s="132">
        <v>20250909</v>
      </c>
      <c r="C822" s="133" t="s">
        <v>209</v>
      </c>
      <c r="D822" s="298" t="s">
        <v>167</v>
      </c>
      <c r="E822" s="302" t="s">
        <v>505</v>
      </c>
      <c r="F822" s="246" t="s">
        <v>1069</v>
      </c>
      <c r="G822" s="246" t="s">
        <v>155</v>
      </c>
      <c r="H822" s="93">
        <v>80111600</v>
      </c>
      <c r="I822" s="247">
        <v>11</v>
      </c>
      <c r="J822" s="247">
        <v>1</v>
      </c>
      <c r="K822" s="52">
        <v>0</v>
      </c>
      <c r="L822" s="53">
        <v>12000000</v>
      </c>
      <c r="M822" s="142" t="s">
        <v>464</v>
      </c>
      <c r="N822" s="131" t="s">
        <v>113</v>
      </c>
      <c r="O822" s="252" t="s">
        <v>226</v>
      </c>
      <c r="P822" s="248" t="str">
        <f>IFERROR(VLOOKUP(C822,TD!$B$33:$F$37,2,0)," ")</f>
        <v>O230117</v>
      </c>
      <c r="Q822" s="248" t="str">
        <f>IFERROR(VLOOKUP(C822,TD!$B$33:$F$37,3,0)," ")</f>
        <v>4503</v>
      </c>
      <c r="R822" s="248">
        <f>IFERROR(VLOOKUP(C822,TD!$B$33:$F$37,4,0)," ")</f>
        <v>20240255</v>
      </c>
      <c r="S822" s="252" t="s">
        <v>179</v>
      </c>
      <c r="T822" s="254" t="str">
        <f>IFERROR(VLOOKUP(S822,TD!$J$34:$K$44,2,0)," ")</f>
        <v>Infraestructura Tecnológica   (Sistemas de Información y Tecnologia)</v>
      </c>
      <c r="U822" s="252" t="str">
        <f>CONCATENATE(S822,"-",T822)</f>
        <v>11-Infraestructura Tecnológica   (Sistemas de Información y Tecnologia)</v>
      </c>
      <c r="V822" s="252" t="s">
        <v>235</v>
      </c>
      <c r="W822" s="254" t="str">
        <f>IFERROR(VLOOKUP(V822,TD!$N$34:$O$46,2,0)," ")</f>
        <v>"Servicio de monitoreo y seguimiento para la gestión del riesgo"</v>
      </c>
      <c r="X822" s="249" t="str">
        <f>CONCATENATE(V822,"_",W822)</f>
        <v>018_"Servicio de monitoreo y seguimiento para la gestión del riesgo"</v>
      </c>
      <c r="Y822" s="249" t="str">
        <f>CONCATENATE(U822," ",X822)</f>
        <v>11-Infraestructura Tecnológica   (Sistemas de Información y Tecnologia) 018_"Servicio de monitoreo y seguimiento para la gestión del riesgo"</v>
      </c>
      <c r="Z822" s="248" t="str">
        <f>CONCATENATE(P822,Q822,R822,S822,V822)</f>
        <v>O23011745032024025511018</v>
      </c>
      <c r="AA822" s="248" t="str">
        <f>IFERROR(VLOOKUP(Y822,TD!$K$47:$L$65,2,0)," ")</f>
        <v>PM/0131/0111/45030180255</v>
      </c>
      <c r="AB822" s="131" t="s">
        <v>138</v>
      </c>
      <c r="AC822" s="301" t="s">
        <v>205</v>
      </c>
    </row>
    <row r="823" spans="2:29" ht="42" x14ac:dyDescent="0.35">
      <c r="B823" s="132">
        <v>20250910</v>
      </c>
      <c r="C823" s="133" t="s">
        <v>209</v>
      </c>
      <c r="D823" s="298" t="s">
        <v>167</v>
      </c>
      <c r="E823" s="302" t="s">
        <v>505</v>
      </c>
      <c r="F823" s="246" t="s">
        <v>1070</v>
      </c>
      <c r="G823" s="246" t="s">
        <v>155</v>
      </c>
      <c r="H823" s="93">
        <v>80111600</v>
      </c>
      <c r="I823" s="247">
        <v>11</v>
      </c>
      <c r="J823" s="247">
        <v>2</v>
      </c>
      <c r="K823" s="52">
        <v>0</v>
      </c>
      <c r="L823" s="53">
        <v>12000000</v>
      </c>
      <c r="M823" s="142" t="s">
        <v>464</v>
      </c>
      <c r="N823" s="131" t="s">
        <v>113</v>
      </c>
      <c r="O823" s="252" t="s">
        <v>225</v>
      </c>
      <c r="P823" s="248" t="str">
        <f>IFERROR(VLOOKUP(C823,TD!$B$33:$F$37,2,0)," ")</f>
        <v>O230117</v>
      </c>
      <c r="Q823" s="248" t="str">
        <f>IFERROR(VLOOKUP(C823,TD!$B$33:$F$37,3,0)," ")</f>
        <v>4503</v>
      </c>
      <c r="R823" s="248">
        <f>IFERROR(VLOOKUP(C823,TD!$B$33:$F$37,4,0)," ")</f>
        <v>20240255</v>
      </c>
      <c r="S823" s="252" t="s">
        <v>179</v>
      </c>
      <c r="T823" s="254" t="str">
        <f>IFERROR(VLOOKUP(S823,TD!$J$34:$K$44,2,0)," ")</f>
        <v>Infraestructura Tecnológica   (Sistemas de Información y Tecnologia)</v>
      </c>
      <c r="U823" s="252" t="str">
        <f>CONCATENATE(S823,"-",T823)</f>
        <v>11-Infraestructura Tecnológica   (Sistemas de Información y Tecnologia)</v>
      </c>
      <c r="V823" s="252" t="s">
        <v>235</v>
      </c>
      <c r="W823" s="254" t="str">
        <f>IFERROR(VLOOKUP(V823,TD!$N$34:$O$46,2,0)," ")</f>
        <v>"Servicio de monitoreo y seguimiento para la gestión del riesgo"</v>
      </c>
      <c r="X823" s="249" t="str">
        <f>CONCATENATE(V823,"_",W823)</f>
        <v>018_"Servicio de monitoreo y seguimiento para la gestión del riesgo"</v>
      </c>
      <c r="Y823" s="249" t="str">
        <f>CONCATENATE(U823," ",X823)</f>
        <v>11-Infraestructura Tecnológica   (Sistemas de Información y Tecnologia) 018_"Servicio de monitoreo y seguimiento para la gestión del riesgo"</v>
      </c>
      <c r="Z823" s="248" t="str">
        <f>CONCATENATE(P823,Q823,R823,S823,V823)</f>
        <v>O23011745032024025511018</v>
      </c>
      <c r="AA823" s="248" t="str">
        <f>IFERROR(VLOOKUP(Y823,TD!$K$47:$L$65,2,0)," ")</f>
        <v>PM/0131/0111/45030180255</v>
      </c>
      <c r="AB823" s="131" t="s">
        <v>138</v>
      </c>
      <c r="AC823" s="301" t="s">
        <v>205</v>
      </c>
    </row>
    <row r="824" spans="2:29" ht="56" x14ac:dyDescent="0.35">
      <c r="B824" s="132">
        <v>20250911</v>
      </c>
      <c r="C824" s="133" t="s">
        <v>209</v>
      </c>
      <c r="D824" s="298" t="s">
        <v>167</v>
      </c>
      <c r="E824" s="302" t="s">
        <v>505</v>
      </c>
      <c r="F824" s="246" t="s">
        <v>1071</v>
      </c>
      <c r="G824" s="246" t="s">
        <v>155</v>
      </c>
      <c r="H824" s="93">
        <v>80111600</v>
      </c>
      <c r="I824" s="247">
        <v>10</v>
      </c>
      <c r="J824" s="247">
        <v>3</v>
      </c>
      <c r="K824" s="52">
        <v>15</v>
      </c>
      <c r="L824" s="53">
        <v>24500000</v>
      </c>
      <c r="M824" s="142" t="s">
        <v>464</v>
      </c>
      <c r="N824" s="131" t="s">
        <v>113</v>
      </c>
      <c r="O824" s="252" t="s">
        <v>221</v>
      </c>
      <c r="P824" s="248" t="str">
        <f>IFERROR(VLOOKUP(C824,TD!$B$33:$F$37,2,0)," ")</f>
        <v>O230117</v>
      </c>
      <c r="Q824" s="248" t="str">
        <f>IFERROR(VLOOKUP(C824,TD!$B$33:$F$37,3,0)," ")</f>
        <v>4503</v>
      </c>
      <c r="R824" s="248">
        <f>IFERROR(VLOOKUP(C824,TD!$B$33:$F$37,4,0)," ")</f>
        <v>20240255</v>
      </c>
      <c r="S824" s="252" t="s">
        <v>181</v>
      </c>
      <c r="T824" s="254" t="str">
        <f>IFERROR(VLOOKUP(S824,TD!$J$34:$K$44,2,0)," ")</f>
        <v>Servicio de inspecciones técnicas realizadas</v>
      </c>
      <c r="U824" s="252" t="str">
        <f>CONCATENATE(S824,"-",T824)</f>
        <v>06-Servicio de inspecciones técnicas realizadas</v>
      </c>
      <c r="V824" s="252" t="s">
        <v>234</v>
      </c>
      <c r="W824" s="254" t="str">
        <f>IFERROR(VLOOKUP(V824,TD!$N$34:$O$46,2,0)," ")</f>
        <v>Servicio prevención y control de incendios</v>
      </c>
      <c r="X824" s="249" t="str">
        <f>CONCATENATE(V824,"_",W824)</f>
        <v>035_Servicio prevención y control de incendios</v>
      </c>
      <c r="Y824" s="249" t="str">
        <f>CONCATENATE(U824," ",X824)</f>
        <v>06-Servicio de inspecciones técnicas realizadas 035_Servicio prevención y control de incendios</v>
      </c>
      <c r="Z824" s="248" t="str">
        <f>CONCATENATE(P824,Q824,R824,S824,V824)</f>
        <v>O23011745032024025506035</v>
      </c>
      <c r="AA824" s="248" t="str">
        <f>IFERROR(VLOOKUP(Y824,TD!$K$47:$L$65,2,0)," ")</f>
        <v>PM/0131/0106/45030350255</v>
      </c>
      <c r="AB824" s="131" t="s">
        <v>138</v>
      </c>
      <c r="AC824" s="301" t="s">
        <v>205</v>
      </c>
    </row>
    <row r="825" spans="2:29" ht="56" x14ac:dyDescent="0.35">
      <c r="B825" s="132">
        <v>20250912</v>
      </c>
      <c r="C825" s="133" t="s">
        <v>209</v>
      </c>
      <c r="D825" s="298" t="s">
        <v>167</v>
      </c>
      <c r="E825" s="302" t="s">
        <v>505</v>
      </c>
      <c r="F825" s="246" t="s">
        <v>1072</v>
      </c>
      <c r="G825" s="246" t="s">
        <v>156</v>
      </c>
      <c r="H825" s="93">
        <v>80111600</v>
      </c>
      <c r="I825" s="247">
        <v>10</v>
      </c>
      <c r="J825" s="247">
        <v>2</v>
      </c>
      <c r="K825" s="52">
        <v>0</v>
      </c>
      <c r="L825" s="53">
        <v>8800000</v>
      </c>
      <c r="M825" s="142" t="s">
        <v>464</v>
      </c>
      <c r="N825" s="131" t="s">
        <v>113</v>
      </c>
      <c r="O825" s="252" t="s">
        <v>221</v>
      </c>
      <c r="P825" s="248" t="str">
        <f>IFERROR(VLOOKUP(C825,TD!$B$33:$F$37,2,0)," ")</f>
        <v>O230117</v>
      </c>
      <c r="Q825" s="248" t="str">
        <f>IFERROR(VLOOKUP(C825,TD!$B$33:$F$37,3,0)," ")</f>
        <v>4503</v>
      </c>
      <c r="R825" s="248">
        <f>IFERROR(VLOOKUP(C825,TD!$B$33:$F$37,4,0)," ")</f>
        <v>20240255</v>
      </c>
      <c r="S825" s="252" t="s">
        <v>181</v>
      </c>
      <c r="T825" s="254" t="str">
        <f>IFERROR(VLOOKUP(S825,TD!$J$34:$K$44,2,0)," ")</f>
        <v>Servicio de inspecciones técnicas realizadas</v>
      </c>
      <c r="U825" s="252" t="str">
        <f>CONCATENATE(S825,"-",T825)</f>
        <v>06-Servicio de inspecciones técnicas realizadas</v>
      </c>
      <c r="V825" s="252" t="s">
        <v>234</v>
      </c>
      <c r="W825" s="254" t="str">
        <f>IFERROR(VLOOKUP(V825,TD!$N$34:$O$46,2,0)," ")</f>
        <v>Servicio prevención y control de incendios</v>
      </c>
      <c r="X825" s="249" t="str">
        <f>CONCATENATE(V825,"_",W825)</f>
        <v>035_Servicio prevención y control de incendios</v>
      </c>
      <c r="Y825" s="249" t="str">
        <f>CONCATENATE(U825," ",X825)</f>
        <v>06-Servicio de inspecciones técnicas realizadas 035_Servicio prevención y control de incendios</v>
      </c>
      <c r="Z825" s="248" t="str">
        <f>CONCATENATE(P825,Q825,R825,S825,V825)</f>
        <v>O23011745032024025506035</v>
      </c>
      <c r="AA825" s="248" t="str">
        <f>IFERROR(VLOOKUP(Y825,TD!$K$47:$L$65,2,0)," ")</f>
        <v>PM/0131/0106/45030350255</v>
      </c>
      <c r="AB825" s="131" t="s">
        <v>138</v>
      </c>
      <c r="AC825" s="301" t="s">
        <v>205</v>
      </c>
    </row>
    <row r="826" spans="2:29" ht="56" x14ac:dyDescent="0.35">
      <c r="B826" s="132">
        <v>20250913</v>
      </c>
      <c r="C826" s="133" t="s">
        <v>209</v>
      </c>
      <c r="D826" s="298" t="s">
        <v>167</v>
      </c>
      <c r="E826" s="302" t="s">
        <v>505</v>
      </c>
      <c r="F826" s="246" t="s">
        <v>1073</v>
      </c>
      <c r="G826" s="246" t="s">
        <v>155</v>
      </c>
      <c r="H826" s="93">
        <v>80111600</v>
      </c>
      <c r="I826" s="247">
        <v>11</v>
      </c>
      <c r="J826" s="247">
        <v>2</v>
      </c>
      <c r="K826" s="52">
        <v>0</v>
      </c>
      <c r="L826" s="53">
        <v>10000000</v>
      </c>
      <c r="M826" s="142" t="s">
        <v>464</v>
      </c>
      <c r="N826" s="131" t="s">
        <v>113</v>
      </c>
      <c r="O826" s="252" t="s">
        <v>226</v>
      </c>
      <c r="P826" s="248" t="str">
        <f>IFERROR(VLOOKUP(C826,TD!$B$33:$F$37,2,0)," ")</f>
        <v>O230117</v>
      </c>
      <c r="Q826" s="248" t="str">
        <f>IFERROR(VLOOKUP(C826,TD!$B$33:$F$37,3,0)," ")</f>
        <v>4503</v>
      </c>
      <c r="R826" s="248">
        <f>IFERROR(VLOOKUP(C826,TD!$B$33:$F$37,4,0)," ")</f>
        <v>20240255</v>
      </c>
      <c r="S826" s="252" t="s">
        <v>179</v>
      </c>
      <c r="T826" s="254" t="str">
        <f>IFERROR(VLOOKUP(S826,TD!$J$34:$K$44,2,0)," ")</f>
        <v>Infraestructura Tecnológica   (Sistemas de Información y Tecnologia)</v>
      </c>
      <c r="U826" s="252" t="str">
        <f>CONCATENATE(S826,"-",T826)</f>
        <v>11-Infraestructura Tecnológica   (Sistemas de Información y Tecnologia)</v>
      </c>
      <c r="V826" s="252" t="s">
        <v>235</v>
      </c>
      <c r="W826" s="254" t="str">
        <f>IFERROR(VLOOKUP(V826,TD!$N$34:$O$46,2,0)," ")</f>
        <v>"Servicio de monitoreo y seguimiento para la gestión del riesgo"</v>
      </c>
      <c r="X826" s="249" t="str">
        <f>CONCATENATE(V826,"_",W826)</f>
        <v>018_"Servicio de monitoreo y seguimiento para la gestión del riesgo"</v>
      </c>
      <c r="Y826" s="249" t="str">
        <f>CONCATENATE(U826," ",X826)</f>
        <v>11-Infraestructura Tecnológica   (Sistemas de Información y Tecnologia) 018_"Servicio de monitoreo y seguimiento para la gestión del riesgo"</v>
      </c>
      <c r="Z826" s="248" t="str">
        <f>CONCATENATE(P826,Q826,R826,S826,V826)</f>
        <v>O23011745032024025511018</v>
      </c>
      <c r="AA826" s="248" t="str">
        <f>IFERROR(VLOOKUP(Y826,TD!$K$47:$L$65,2,0)," ")</f>
        <v>PM/0131/0111/45030180255</v>
      </c>
      <c r="AB826" s="131" t="s">
        <v>138</v>
      </c>
      <c r="AC826" s="301" t="s">
        <v>205</v>
      </c>
    </row>
    <row r="827" spans="2:29" ht="56" x14ac:dyDescent="0.35">
      <c r="B827" s="132">
        <v>20250914</v>
      </c>
      <c r="C827" s="133" t="s">
        <v>209</v>
      </c>
      <c r="D827" s="298" t="s">
        <v>167</v>
      </c>
      <c r="E827" s="302" t="s">
        <v>505</v>
      </c>
      <c r="F827" s="246" t="s">
        <v>1074</v>
      </c>
      <c r="G827" s="246" t="s">
        <v>156</v>
      </c>
      <c r="H827" s="93">
        <v>80111600</v>
      </c>
      <c r="I827" s="247">
        <v>10</v>
      </c>
      <c r="J827" s="247">
        <v>3</v>
      </c>
      <c r="K827" s="52">
        <v>0</v>
      </c>
      <c r="L827" s="53">
        <v>12000000</v>
      </c>
      <c r="M827" s="142" t="s">
        <v>464</v>
      </c>
      <c r="N827" s="131" t="s">
        <v>113</v>
      </c>
      <c r="O827" s="252" t="s">
        <v>226</v>
      </c>
      <c r="P827" s="248" t="str">
        <f>IFERROR(VLOOKUP(C827,TD!$B$33:$F$37,2,0)," ")</f>
        <v>O230117</v>
      </c>
      <c r="Q827" s="248" t="str">
        <f>IFERROR(VLOOKUP(C827,TD!$B$33:$F$37,3,0)," ")</f>
        <v>4503</v>
      </c>
      <c r="R827" s="248">
        <f>IFERROR(VLOOKUP(C827,TD!$B$33:$F$37,4,0)," ")</f>
        <v>20240255</v>
      </c>
      <c r="S827" s="252" t="s">
        <v>179</v>
      </c>
      <c r="T827" s="254" t="str">
        <f>IFERROR(VLOOKUP(S827,TD!$J$34:$K$44,2,0)," ")</f>
        <v>Infraestructura Tecnológica   (Sistemas de Información y Tecnologia)</v>
      </c>
      <c r="U827" s="252" t="str">
        <f>CONCATENATE(S827,"-",T827)</f>
        <v>11-Infraestructura Tecnológica   (Sistemas de Información y Tecnologia)</v>
      </c>
      <c r="V827" s="252" t="s">
        <v>235</v>
      </c>
      <c r="W827" s="254" t="str">
        <f>IFERROR(VLOOKUP(V827,TD!$N$34:$O$46,2,0)," ")</f>
        <v>"Servicio de monitoreo y seguimiento para la gestión del riesgo"</v>
      </c>
      <c r="X827" s="249" t="str">
        <f>CONCATENATE(V827,"_",W827)</f>
        <v>018_"Servicio de monitoreo y seguimiento para la gestión del riesgo"</v>
      </c>
      <c r="Y827" s="249" t="str">
        <f>CONCATENATE(U827," ",X827)</f>
        <v>11-Infraestructura Tecnológica   (Sistemas de Información y Tecnologia) 018_"Servicio de monitoreo y seguimiento para la gestión del riesgo"</v>
      </c>
      <c r="Z827" s="248" t="str">
        <f>CONCATENATE(P827,Q827,R827,S827,V827)</f>
        <v>O23011745032024025511018</v>
      </c>
      <c r="AA827" s="248" t="str">
        <f>IFERROR(VLOOKUP(Y827,TD!$K$47:$L$65,2,0)," ")</f>
        <v>PM/0131/0111/45030180255</v>
      </c>
      <c r="AB827" s="131" t="s">
        <v>138</v>
      </c>
      <c r="AC827" s="301" t="s">
        <v>205</v>
      </c>
    </row>
    <row r="828" spans="2:29" ht="56" x14ac:dyDescent="0.35">
      <c r="B828" s="132">
        <v>20250915</v>
      </c>
      <c r="C828" s="133" t="s">
        <v>209</v>
      </c>
      <c r="D828" s="298" t="s">
        <v>167</v>
      </c>
      <c r="E828" s="302" t="s">
        <v>505</v>
      </c>
      <c r="F828" s="246" t="s">
        <v>1075</v>
      </c>
      <c r="G828" s="246" t="s">
        <v>155</v>
      </c>
      <c r="H828" s="93">
        <v>80111600</v>
      </c>
      <c r="I828" s="247">
        <v>11</v>
      </c>
      <c r="J828" s="247">
        <v>1</v>
      </c>
      <c r="K828" s="52">
        <v>0</v>
      </c>
      <c r="L828" s="53">
        <v>5000000</v>
      </c>
      <c r="M828" s="142" t="s">
        <v>464</v>
      </c>
      <c r="N828" s="131" t="s">
        <v>113</v>
      </c>
      <c r="O828" s="252" t="s">
        <v>226</v>
      </c>
      <c r="P828" s="248" t="str">
        <f>IFERROR(VLOOKUP(C828,TD!$B$33:$F$37,2,0)," ")</f>
        <v>O230117</v>
      </c>
      <c r="Q828" s="248" t="str">
        <f>IFERROR(VLOOKUP(C828,TD!$B$33:$F$37,3,0)," ")</f>
        <v>4503</v>
      </c>
      <c r="R828" s="248">
        <f>IFERROR(VLOOKUP(C828,TD!$B$33:$F$37,4,0)," ")</f>
        <v>20240255</v>
      </c>
      <c r="S828" s="252" t="s">
        <v>179</v>
      </c>
      <c r="T828" s="254" t="str">
        <f>IFERROR(VLOOKUP(S828,TD!$J$34:$K$44,2,0)," ")</f>
        <v>Infraestructura Tecnológica   (Sistemas de Información y Tecnologia)</v>
      </c>
      <c r="U828" s="252" t="str">
        <f>CONCATENATE(S828,"-",T828)</f>
        <v>11-Infraestructura Tecnológica   (Sistemas de Información y Tecnologia)</v>
      </c>
      <c r="V828" s="252" t="s">
        <v>235</v>
      </c>
      <c r="W828" s="254" t="str">
        <f>IFERROR(VLOOKUP(V828,TD!$N$34:$O$46,2,0)," ")</f>
        <v>"Servicio de monitoreo y seguimiento para la gestión del riesgo"</v>
      </c>
      <c r="X828" s="249" t="str">
        <f>CONCATENATE(V828,"_",W828)</f>
        <v>018_"Servicio de monitoreo y seguimiento para la gestión del riesgo"</v>
      </c>
      <c r="Y828" s="249" t="str">
        <f>CONCATENATE(U828," ",X828)</f>
        <v>11-Infraestructura Tecnológica   (Sistemas de Información y Tecnologia) 018_"Servicio de monitoreo y seguimiento para la gestión del riesgo"</v>
      </c>
      <c r="Z828" s="248" t="str">
        <f>CONCATENATE(P828,Q828,R828,S828,V828)</f>
        <v>O23011745032024025511018</v>
      </c>
      <c r="AA828" s="248" t="str">
        <f>IFERROR(VLOOKUP(Y828,TD!$K$47:$L$65,2,0)," ")</f>
        <v>PM/0131/0111/45030180255</v>
      </c>
      <c r="AB828" s="131" t="s">
        <v>138</v>
      </c>
      <c r="AC828" s="301" t="s">
        <v>205</v>
      </c>
    </row>
    <row r="829" spans="2:29" ht="56" x14ac:dyDescent="0.35">
      <c r="B829" s="132">
        <v>20250916</v>
      </c>
      <c r="C829" s="133" t="s">
        <v>209</v>
      </c>
      <c r="D829" s="298" t="s">
        <v>167</v>
      </c>
      <c r="E829" s="302" t="s">
        <v>505</v>
      </c>
      <c r="F829" s="246" t="s">
        <v>1076</v>
      </c>
      <c r="G829" s="246" t="s">
        <v>156</v>
      </c>
      <c r="H829" s="93">
        <v>80111600</v>
      </c>
      <c r="I829" s="247">
        <v>10</v>
      </c>
      <c r="J829" s="247">
        <v>3</v>
      </c>
      <c r="K829" s="52">
        <v>0</v>
      </c>
      <c r="L829" s="53">
        <v>10500000</v>
      </c>
      <c r="M829" s="142" t="s">
        <v>464</v>
      </c>
      <c r="N829" s="131" t="s">
        <v>113</v>
      </c>
      <c r="O829" s="252" t="s">
        <v>221</v>
      </c>
      <c r="P829" s="248" t="str">
        <f>IFERROR(VLOOKUP(C829,TD!$B$33:$F$37,2,0)," ")</f>
        <v>O230117</v>
      </c>
      <c r="Q829" s="248" t="str">
        <f>IFERROR(VLOOKUP(C829,TD!$B$33:$F$37,3,0)," ")</f>
        <v>4503</v>
      </c>
      <c r="R829" s="248">
        <f>IFERROR(VLOOKUP(C829,TD!$B$33:$F$37,4,0)," ")</f>
        <v>20240255</v>
      </c>
      <c r="S829" s="252" t="s">
        <v>177</v>
      </c>
      <c r="T829" s="254" t="str">
        <f>IFERROR(VLOOKUP(S829,TD!$J$34:$K$44,2,0)," ")</f>
        <v>Servicio de capacitaciones en gestión del riesgo de incendios  a la ciudadania.</v>
      </c>
      <c r="U829" s="252" t="str">
        <f>CONCATENATE(S829,"-",T829)</f>
        <v>05-Servicio de capacitaciones en gestión del riesgo de incendios  a la ciudadania.</v>
      </c>
      <c r="V829" s="252" t="s">
        <v>234</v>
      </c>
      <c r="W829" s="254" t="str">
        <f>IFERROR(VLOOKUP(V829,TD!$N$34:$O$46,2,0)," ")</f>
        <v>Servicio prevención y control de incendios</v>
      </c>
      <c r="X829" s="249" t="str">
        <f>CONCATENATE(V829,"_",W829)</f>
        <v>035_Servicio prevención y control de incendios</v>
      </c>
      <c r="Y829" s="249" t="str">
        <f>CONCATENATE(U829," ",X829)</f>
        <v>05-Servicio de capacitaciones en gestión del riesgo de incendios  a la ciudadania. 035_Servicio prevención y control de incendios</v>
      </c>
      <c r="Z829" s="248" t="str">
        <f>CONCATENATE(P829,Q829,R829,S829,V829)</f>
        <v>O23011745032024025505035</v>
      </c>
      <c r="AA829" s="248" t="str">
        <f>IFERROR(VLOOKUP(Y829,TD!$K$47:$L$65,2,0)," ")</f>
        <v>PM/0131/0105/45030350255</v>
      </c>
      <c r="AB829" s="131" t="s">
        <v>138</v>
      </c>
      <c r="AC829" s="301" t="s">
        <v>205</v>
      </c>
    </row>
    <row r="830" spans="2:29" ht="56" x14ac:dyDescent="0.35">
      <c r="B830" s="132">
        <v>20250917</v>
      </c>
      <c r="C830" s="133" t="s">
        <v>209</v>
      </c>
      <c r="D830" s="298" t="s">
        <v>167</v>
      </c>
      <c r="E830" s="302" t="s">
        <v>505</v>
      </c>
      <c r="F830" s="246" t="s">
        <v>1077</v>
      </c>
      <c r="G830" s="246" t="s">
        <v>155</v>
      </c>
      <c r="H830" s="93">
        <v>80111600</v>
      </c>
      <c r="I830" s="247">
        <v>10</v>
      </c>
      <c r="J830" s="247">
        <v>3</v>
      </c>
      <c r="K830" s="52">
        <v>0</v>
      </c>
      <c r="L830" s="53">
        <v>21000000</v>
      </c>
      <c r="M830" s="142" t="s">
        <v>464</v>
      </c>
      <c r="N830" s="131" t="s">
        <v>113</v>
      </c>
      <c r="O830" s="252" t="s">
        <v>221</v>
      </c>
      <c r="P830" s="248" t="str">
        <f>IFERROR(VLOOKUP(C830,TD!$B$33:$F$37,2,0)," ")</f>
        <v>O230117</v>
      </c>
      <c r="Q830" s="248" t="str">
        <f>IFERROR(VLOOKUP(C830,TD!$B$33:$F$37,3,0)," ")</f>
        <v>4503</v>
      </c>
      <c r="R830" s="248">
        <f>IFERROR(VLOOKUP(C830,TD!$B$33:$F$37,4,0)," ")</f>
        <v>20240255</v>
      </c>
      <c r="S830" s="252" t="s">
        <v>177</v>
      </c>
      <c r="T830" s="254" t="str">
        <f>IFERROR(VLOOKUP(S830,TD!$J$34:$K$44,2,0)," ")</f>
        <v>Servicio de capacitaciones en gestión del riesgo de incendios  a la ciudadania.</v>
      </c>
      <c r="U830" s="252" t="str">
        <f>CONCATENATE(S830,"-",T830)</f>
        <v>05-Servicio de capacitaciones en gestión del riesgo de incendios  a la ciudadania.</v>
      </c>
      <c r="V830" s="252" t="s">
        <v>233</v>
      </c>
      <c r="W830" s="254" t="str">
        <f>IFERROR(VLOOKUP(V830,TD!$N$34:$O$46,2,0)," ")</f>
        <v>Servicio de educación informal</v>
      </c>
      <c r="X830" s="249" t="str">
        <f>CONCATENATE(V830,"_",W830)</f>
        <v>002_Servicio de educación informal</v>
      </c>
      <c r="Y830" s="249" t="str">
        <f>CONCATENATE(U830," ",X830)</f>
        <v>05-Servicio de capacitaciones en gestión del riesgo de incendios  a la ciudadania. 002_Servicio de educación informal</v>
      </c>
      <c r="Z830" s="248" t="str">
        <f>CONCATENATE(P830,Q830,R830,S830,V830)</f>
        <v>O23011745032024025505002</v>
      </c>
      <c r="AA830" s="248" t="str">
        <f>IFERROR(VLOOKUP(Y830,TD!$K$47:$L$65,2,0)," ")</f>
        <v>PM/0131/0105/45030020255</v>
      </c>
      <c r="AB830" s="131" t="s">
        <v>138</v>
      </c>
      <c r="AC830" s="301" t="s">
        <v>205</v>
      </c>
    </row>
    <row r="831" spans="2:29" ht="56" x14ac:dyDescent="0.35">
      <c r="B831" s="132">
        <v>20250918</v>
      </c>
      <c r="C831" s="133" t="s">
        <v>209</v>
      </c>
      <c r="D831" s="298" t="s">
        <v>167</v>
      </c>
      <c r="E831" s="302" t="s">
        <v>505</v>
      </c>
      <c r="F831" s="246" t="s">
        <v>1078</v>
      </c>
      <c r="G831" s="246" t="s">
        <v>155</v>
      </c>
      <c r="H831" s="93">
        <v>80111600</v>
      </c>
      <c r="I831" s="247">
        <v>9</v>
      </c>
      <c r="J831" s="247">
        <v>3</v>
      </c>
      <c r="K831" s="52">
        <v>0</v>
      </c>
      <c r="L831" s="53">
        <v>18000000</v>
      </c>
      <c r="M831" s="142" t="s">
        <v>464</v>
      </c>
      <c r="N831" s="131" t="s">
        <v>113</v>
      </c>
      <c r="O831" s="252" t="s">
        <v>221</v>
      </c>
      <c r="P831" s="248" t="str">
        <f>IFERROR(VLOOKUP(C831,TD!$B$33:$F$37,2,0)," ")</f>
        <v>O230117</v>
      </c>
      <c r="Q831" s="248" t="str">
        <f>IFERROR(VLOOKUP(C831,TD!$B$33:$F$37,3,0)," ")</f>
        <v>4503</v>
      </c>
      <c r="R831" s="248">
        <f>IFERROR(VLOOKUP(C831,TD!$B$33:$F$37,4,0)," ")</f>
        <v>20240255</v>
      </c>
      <c r="S831" s="252" t="s">
        <v>181</v>
      </c>
      <c r="T831" s="254" t="str">
        <f>IFERROR(VLOOKUP(S831,TD!$J$34:$K$44,2,0)," ")</f>
        <v>Servicio de inspecciones técnicas realizadas</v>
      </c>
      <c r="U831" s="252" t="str">
        <f>CONCATENATE(S831,"-",T831)</f>
        <v>06-Servicio de inspecciones técnicas realizadas</v>
      </c>
      <c r="V831" s="252" t="s">
        <v>234</v>
      </c>
      <c r="W831" s="254" t="str">
        <f>IFERROR(VLOOKUP(V831,TD!$N$34:$O$46,2,0)," ")</f>
        <v>Servicio prevención y control de incendios</v>
      </c>
      <c r="X831" s="249" t="str">
        <f>CONCATENATE(V831,"_",W831)</f>
        <v>035_Servicio prevención y control de incendios</v>
      </c>
      <c r="Y831" s="249" t="str">
        <f>CONCATENATE(U831," ",X831)</f>
        <v>06-Servicio de inspecciones técnicas realizadas 035_Servicio prevención y control de incendios</v>
      </c>
      <c r="Z831" s="248" t="str">
        <f>CONCATENATE(P831,Q831,R831,S831,V831)</f>
        <v>O23011745032024025506035</v>
      </c>
      <c r="AA831" s="248" t="str">
        <f>IFERROR(VLOOKUP(Y831,TD!$K$47:$L$65,2,0)," ")</f>
        <v>PM/0131/0106/45030350255</v>
      </c>
      <c r="AB831" s="131" t="s">
        <v>138</v>
      </c>
      <c r="AC831" s="301" t="s">
        <v>205</v>
      </c>
    </row>
    <row r="832" spans="2:29" ht="56" x14ac:dyDescent="0.35">
      <c r="B832" s="132">
        <v>20250919</v>
      </c>
      <c r="C832" s="133" t="s">
        <v>209</v>
      </c>
      <c r="D832" s="298" t="s">
        <v>167</v>
      </c>
      <c r="E832" s="302" t="s">
        <v>505</v>
      </c>
      <c r="F832" s="246" t="s">
        <v>1079</v>
      </c>
      <c r="G832" s="246" t="s">
        <v>155</v>
      </c>
      <c r="H832" s="93">
        <v>80111600</v>
      </c>
      <c r="I832" s="247">
        <v>10</v>
      </c>
      <c r="J832" s="247">
        <v>3</v>
      </c>
      <c r="K832" s="52">
        <v>0</v>
      </c>
      <c r="L832" s="53">
        <v>18000000</v>
      </c>
      <c r="M832" s="142" t="s">
        <v>464</v>
      </c>
      <c r="N832" s="131" t="s">
        <v>113</v>
      </c>
      <c r="O832" s="252" t="s">
        <v>221</v>
      </c>
      <c r="P832" s="248" t="str">
        <f>IFERROR(VLOOKUP(C832,TD!$B$33:$F$37,2,0)," ")</f>
        <v>O230117</v>
      </c>
      <c r="Q832" s="248" t="str">
        <f>IFERROR(VLOOKUP(C832,TD!$B$33:$F$37,3,0)," ")</f>
        <v>4503</v>
      </c>
      <c r="R832" s="248">
        <f>IFERROR(VLOOKUP(C832,TD!$B$33:$F$37,4,0)," ")</f>
        <v>20240255</v>
      </c>
      <c r="S832" s="252" t="s">
        <v>181</v>
      </c>
      <c r="T832" s="254" t="str">
        <f>IFERROR(VLOOKUP(S832,TD!$J$34:$K$44,2,0)," ")</f>
        <v>Servicio de inspecciones técnicas realizadas</v>
      </c>
      <c r="U832" s="252" t="str">
        <f>CONCATENATE(S832,"-",T832)</f>
        <v>06-Servicio de inspecciones técnicas realizadas</v>
      </c>
      <c r="V832" s="252" t="s">
        <v>234</v>
      </c>
      <c r="W832" s="254" t="str">
        <f>IFERROR(VLOOKUP(V832,TD!$N$34:$O$46,2,0)," ")</f>
        <v>Servicio prevención y control de incendios</v>
      </c>
      <c r="X832" s="249" t="str">
        <f>CONCATENATE(V832,"_",W832)</f>
        <v>035_Servicio prevención y control de incendios</v>
      </c>
      <c r="Y832" s="249" t="str">
        <f>CONCATENATE(U832," ",X832)</f>
        <v>06-Servicio de inspecciones técnicas realizadas 035_Servicio prevención y control de incendios</v>
      </c>
      <c r="Z832" s="248" t="str">
        <f>CONCATENATE(P832,Q832,R832,S832,V832)</f>
        <v>O23011745032024025506035</v>
      </c>
      <c r="AA832" s="248" t="str">
        <f>IFERROR(VLOOKUP(Y832,TD!$K$47:$L$65,2,0)," ")</f>
        <v>PM/0131/0106/45030350255</v>
      </c>
      <c r="AB832" s="131" t="s">
        <v>138</v>
      </c>
      <c r="AC832" s="301" t="s">
        <v>205</v>
      </c>
    </row>
    <row r="833" spans="2:29" ht="56" x14ac:dyDescent="0.35">
      <c r="B833" s="132">
        <v>20250920</v>
      </c>
      <c r="C833" s="133" t="s">
        <v>209</v>
      </c>
      <c r="D833" s="298" t="s">
        <v>167</v>
      </c>
      <c r="E833" s="302" t="s">
        <v>505</v>
      </c>
      <c r="F833" s="246" t="s">
        <v>1080</v>
      </c>
      <c r="G833" s="246" t="s">
        <v>156</v>
      </c>
      <c r="H833" s="93">
        <v>80111600</v>
      </c>
      <c r="I833" s="247">
        <v>12</v>
      </c>
      <c r="J833" s="247">
        <v>1</v>
      </c>
      <c r="K833" s="52">
        <v>0</v>
      </c>
      <c r="L833" s="53">
        <v>4000000</v>
      </c>
      <c r="M833" s="142" t="s">
        <v>464</v>
      </c>
      <c r="N833" s="131" t="s">
        <v>113</v>
      </c>
      <c r="O833" s="252" t="s">
        <v>221</v>
      </c>
      <c r="P833" s="248" t="str">
        <f>IFERROR(VLOOKUP(C833,TD!$B$33:$F$37,2,0)," ")</f>
        <v>O230117</v>
      </c>
      <c r="Q833" s="248" t="str">
        <f>IFERROR(VLOOKUP(C833,TD!$B$33:$F$37,3,0)," ")</f>
        <v>4503</v>
      </c>
      <c r="R833" s="248">
        <f>IFERROR(VLOOKUP(C833,TD!$B$33:$F$37,4,0)," ")</f>
        <v>20240255</v>
      </c>
      <c r="S833" s="252" t="s">
        <v>181</v>
      </c>
      <c r="T833" s="254" t="str">
        <f>IFERROR(VLOOKUP(S833,TD!$J$34:$K$44,2,0)," ")</f>
        <v>Servicio de inspecciones técnicas realizadas</v>
      </c>
      <c r="U833" s="252" t="str">
        <f>CONCATENATE(S833,"-",T833)</f>
        <v>06-Servicio de inspecciones técnicas realizadas</v>
      </c>
      <c r="V833" s="252" t="s">
        <v>234</v>
      </c>
      <c r="W833" s="254" t="str">
        <f>IFERROR(VLOOKUP(V833,TD!$N$34:$O$46,2,0)," ")</f>
        <v>Servicio prevención y control de incendios</v>
      </c>
      <c r="X833" s="249" t="str">
        <f>CONCATENATE(V833,"_",W833)</f>
        <v>035_Servicio prevención y control de incendios</v>
      </c>
      <c r="Y833" s="249" t="str">
        <f>CONCATENATE(U833," ",X833)</f>
        <v>06-Servicio de inspecciones técnicas realizadas 035_Servicio prevención y control de incendios</v>
      </c>
      <c r="Z833" s="248" t="str">
        <f>CONCATENATE(P833,Q833,R833,S833,V833)</f>
        <v>O23011745032024025506035</v>
      </c>
      <c r="AA833" s="248" t="str">
        <f>IFERROR(VLOOKUP(Y833,TD!$K$47:$L$65,2,0)," ")</f>
        <v>PM/0131/0106/45030350255</v>
      </c>
      <c r="AB833" s="131" t="s">
        <v>138</v>
      </c>
      <c r="AC833" s="301" t="s">
        <v>205</v>
      </c>
    </row>
    <row r="834" spans="2:29" ht="56" x14ac:dyDescent="0.35">
      <c r="B834" s="132">
        <v>20250921</v>
      </c>
      <c r="C834" s="133" t="s">
        <v>209</v>
      </c>
      <c r="D834" s="298" t="s">
        <v>167</v>
      </c>
      <c r="E834" s="302" t="s">
        <v>505</v>
      </c>
      <c r="F834" s="246" t="s">
        <v>1081</v>
      </c>
      <c r="G834" s="246" t="s">
        <v>156</v>
      </c>
      <c r="H834" s="93">
        <v>80111600</v>
      </c>
      <c r="I834" s="247">
        <v>12</v>
      </c>
      <c r="J834" s="247">
        <v>1</v>
      </c>
      <c r="K834" s="52">
        <v>0</v>
      </c>
      <c r="L834" s="53">
        <v>4000000</v>
      </c>
      <c r="M834" s="142" t="s">
        <v>464</v>
      </c>
      <c r="N834" s="131" t="s">
        <v>113</v>
      </c>
      <c r="O834" s="252" t="s">
        <v>221</v>
      </c>
      <c r="P834" s="248" t="str">
        <f>IFERROR(VLOOKUP(C834,TD!$B$33:$F$37,2,0)," ")</f>
        <v>O230117</v>
      </c>
      <c r="Q834" s="248" t="str">
        <f>IFERROR(VLOOKUP(C834,TD!$B$33:$F$37,3,0)," ")</f>
        <v>4503</v>
      </c>
      <c r="R834" s="248">
        <f>IFERROR(VLOOKUP(C834,TD!$B$33:$F$37,4,0)," ")</f>
        <v>20240255</v>
      </c>
      <c r="S834" s="252" t="s">
        <v>181</v>
      </c>
      <c r="T834" s="254" t="str">
        <f>IFERROR(VLOOKUP(S834,TD!$J$34:$K$44,2,0)," ")</f>
        <v>Servicio de inspecciones técnicas realizadas</v>
      </c>
      <c r="U834" s="252" t="str">
        <f>CONCATENATE(S834,"-",T834)</f>
        <v>06-Servicio de inspecciones técnicas realizadas</v>
      </c>
      <c r="V834" s="252" t="s">
        <v>234</v>
      </c>
      <c r="W834" s="254" t="str">
        <f>IFERROR(VLOOKUP(V834,TD!$N$34:$O$46,2,0)," ")</f>
        <v>Servicio prevención y control de incendios</v>
      </c>
      <c r="X834" s="249" t="str">
        <f>CONCATENATE(V834,"_",W834)</f>
        <v>035_Servicio prevención y control de incendios</v>
      </c>
      <c r="Y834" s="249" t="str">
        <f>CONCATENATE(U834," ",X834)</f>
        <v>06-Servicio de inspecciones técnicas realizadas 035_Servicio prevención y control de incendios</v>
      </c>
      <c r="Z834" s="248" t="str">
        <f>CONCATENATE(P834,Q834,R834,S834,V834)</f>
        <v>O23011745032024025506035</v>
      </c>
      <c r="AA834" s="248" t="str">
        <f>IFERROR(VLOOKUP(Y834,TD!$K$47:$L$65,2,0)," ")</f>
        <v>PM/0131/0106/45030350255</v>
      </c>
      <c r="AB834" s="131" t="s">
        <v>138</v>
      </c>
      <c r="AC834" s="301" t="s">
        <v>205</v>
      </c>
    </row>
    <row r="835" spans="2:29" ht="56" x14ac:dyDescent="0.35">
      <c r="B835" s="132">
        <v>20250922</v>
      </c>
      <c r="C835" s="133" t="s">
        <v>209</v>
      </c>
      <c r="D835" s="298" t="s">
        <v>167</v>
      </c>
      <c r="E835" s="302" t="s">
        <v>505</v>
      </c>
      <c r="F835" s="246" t="s">
        <v>1082</v>
      </c>
      <c r="G835" s="246" t="s">
        <v>156</v>
      </c>
      <c r="H835" s="93">
        <v>80111600</v>
      </c>
      <c r="I835" s="247">
        <v>12</v>
      </c>
      <c r="J835" s="247">
        <v>1</v>
      </c>
      <c r="K835" s="52">
        <v>0</v>
      </c>
      <c r="L835" s="53">
        <v>4000000</v>
      </c>
      <c r="M835" s="142" t="s">
        <v>464</v>
      </c>
      <c r="N835" s="131" t="s">
        <v>113</v>
      </c>
      <c r="O835" s="252" t="s">
        <v>221</v>
      </c>
      <c r="P835" s="248" t="str">
        <f>IFERROR(VLOOKUP(C835,TD!$B$33:$F$37,2,0)," ")</f>
        <v>O230117</v>
      </c>
      <c r="Q835" s="248" t="str">
        <f>IFERROR(VLOOKUP(C835,TD!$B$33:$F$37,3,0)," ")</f>
        <v>4503</v>
      </c>
      <c r="R835" s="248">
        <f>IFERROR(VLOOKUP(C835,TD!$B$33:$F$37,4,0)," ")</f>
        <v>20240255</v>
      </c>
      <c r="S835" s="252" t="s">
        <v>181</v>
      </c>
      <c r="T835" s="254" t="str">
        <f>IFERROR(VLOOKUP(S835,TD!$J$34:$K$44,2,0)," ")</f>
        <v>Servicio de inspecciones técnicas realizadas</v>
      </c>
      <c r="U835" s="252" t="str">
        <f>CONCATENATE(S835,"-",T835)</f>
        <v>06-Servicio de inspecciones técnicas realizadas</v>
      </c>
      <c r="V835" s="252" t="s">
        <v>234</v>
      </c>
      <c r="W835" s="254" t="str">
        <f>IFERROR(VLOOKUP(V835,TD!$N$34:$O$46,2,0)," ")</f>
        <v>Servicio prevención y control de incendios</v>
      </c>
      <c r="X835" s="249" t="str">
        <f>CONCATENATE(V835,"_",W835)</f>
        <v>035_Servicio prevención y control de incendios</v>
      </c>
      <c r="Y835" s="249" t="str">
        <f>CONCATENATE(U835," ",X835)</f>
        <v>06-Servicio de inspecciones técnicas realizadas 035_Servicio prevención y control de incendios</v>
      </c>
      <c r="Z835" s="248" t="str">
        <f>CONCATENATE(P835,Q835,R835,S835,V835)</f>
        <v>O23011745032024025506035</v>
      </c>
      <c r="AA835" s="248" t="str">
        <f>IFERROR(VLOOKUP(Y835,TD!$K$47:$L$65,2,0)," ")</f>
        <v>PM/0131/0106/45030350255</v>
      </c>
      <c r="AB835" s="131" t="s">
        <v>138</v>
      </c>
      <c r="AC835" s="301" t="s">
        <v>205</v>
      </c>
    </row>
    <row r="836" spans="2:29" ht="56" x14ac:dyDescent="0.35">
      <c r="B836" s="132">
        <v>20250923</v>
      </c>
      <c r="C836" s="133" t="s">
        <v>209</v>
      </c>
      <c r="D836" s="298" t="s">
        <v>167</v>
      </c>
      <c r="E836" s="302" t="s">
        <v>505</v>
      </c>
      <c r="F836" s="246" t="s">
        <v>1083</v>
      </c>
      <c r="G836" s="246" t="s">
        <v>156</v>
      </c>
      <c r="H836" s="93">
        <v>80111600</v>
      </c>
      <c r="I836" s="247">
        <v>12</v>
      </c>
      <c r="J836" s="247">
        <v>1</v>
      </c>
      <c r="K836" s="52">
        <v>0</v>
      </c>
      <c r="L836" s="53">
        <v>4000000</v>
      </c>
      <c r="M836" s="142" t="s">
        <v>464</v>
      </c>
      <c r="N836" s="131" t="s">
        <v>113</v>
      </c>
      <c r="O836" s="252" t="s">
        <v>221</v>
      </c>
      <c r="P836" s="248" t="str">
        <f>IFERROR(VLOOKUP(C836,TD!$B$33:$F$37,2,0)," ")</f>
        <v>O230117</v>
      </c>
      <c r="Q836" s="248" t="str">
        <f>IFERROR(VLOOKUP(C836,TD!$B$33:$F$37,3,0)," ")</f>
        <v>4503</v>
      </c>
      <c r="R836" s="248">
        <f>IFERROR(VLOOKUP(C836,TD!$B$33:$F$37,4,0)," ")</f>
        <v>20240255</v>
      </c>
      <c r="S836" s="252" t="s">
        <v>181</v>
      </c>
      <c r="T836" s="254" t="str">
        <f>IFERROR(VLOOKUP(S836,TD!$J$34:$K$44,2,0)," ")</f>
        <v>Servicio de inspecciones técnicas realizadas</v>
      </c>
      <c r="U836" s="252" t="str">
        <f>CONCATENATE(S836,"-",T836)</f>
        <v>06-Servicio de inspecciones técnicas realizadas</v>
      </c>
      <c r="V836" s="252" t="s">
        <v>234</v>
      </c>
      <c r="W836" s="254" t="str">
        <f>IFERROR(VLOOKUP(V836,TD!$N$34:$O$46,2,0)," ")</f>
        <v>Servicio prevención y control de incendios</v>
      </c>
      <c r="X836" s="249" t="str">
        <f>CONCATENATE(V836,"_",W836)</f>
        <v>035_Servicio prevención y control de incendios</v>
      </c>
      <c r="Y836" s="249" t="str">
        <f>CONCATENATE(U836," ",X836)</f>
        <v>06-Servicio de inspecciones técnicas realizadas 035_Servicio prevención y control de incendios</v>
      </c>
      <c r="Z836" s="248" t="str">
        <f>CONCATENATE(P836,Q836,R836,S836,V836)</f>
        <v>O23011745032024025506035</v>
      </c>
      <c r="AA836" s="248" t="str">
        <f>IFERROR(VLOOKUP(Y836,TD!$K$47:$L$65,2,0)," ")</f>
        <v>PM/0131/0106/45030350255</v>
      </c>
      <c r="AB836" s="131" t="s">
        <v>138</v>
      </c>
      <c r="AC836" s="301" t="s">
        <v>205</v>
      </c>
    </row>
    <row r="837" spans="2:29" ht="56" x14ac:dyDescent="0.35">
      <c r="B837" s="132">
        <v>20250924</v>
      </c>
      <c r="C837" s="133" t="s">
        <v>209</v>
      </c>
      <c r="D837" s="298" t="s">
        <v>167</v>
      </c>
      <c r="E837" s="302" t="s">
        <v>505</v>
      </c>
      <c r="F837" s="246" t="s">
        <v>1084</v>
      </c>
      <c r="G837" s="246" t="s">
        <v>156</v>
      </c>
      <c r="H837" s="93">
        <v>80111600</v>
      </c>
      <c r="I837" s="247">
        <v>12</v>
      </c>
      <c r="J837" s="247">
        <v>1</v>
      </c>
      <c r="K837" s="52">
        <v>0</v>
      </c>
      <c r="L837" s="53">
        <v>4000000</v>
      </c>
      <c r="M837" s="142" t="s">
        <v>464</v>
      </c>
      <c r="N837" s="131" t="s">
        <v>113</v>
      </c>
      <c r="O837" s="252" t="s">
        <v>221</v>
      </c>
      <c r="P837" s="248" t="str">
        <f>IFERROR(VLOOKUP(C837,TD!$B$33:$F$37,2,0)," ")</f>
        <v>O230117</v>
      </c>
      <c r="Q837" s="248" t="str">
        <f>IFERROR(VLOOKUP(C837,TD!$B$33:$F$37,3,0)," ")</f>
        <v>4503</v>
      </c>
      <c r="R837" s="248">
        <f>IFERROR(VLOOKUP(C837,TD!$B$33:$F$37,4,0)," ")</f>
        <v>20240255</v>
      </c>
      <c r="S837" s="252" t="s">
        <v>181</v>
      </c>
      <c r="T837" s="254" t="str">
        <f>IFERROR(VLOOKUP(S837,TD!$J$34:$K$44,2,0)," ")</f>
        <v>Servicio de inspecciones técnicas realizadas</v>
      </c>
      <c r="U837" s="252" t="str">
        <f>CONCATENATE(S837,"-",T837)</f>
        <v>06-Servicio de inspecciones técnicas realizadas</v>
      </c>
      <c r="V837" s="252" t="s">
        <v>234</v>
      </c>
      <c r="W837" s="254" t="str">
        <f>IFERROR(VLOOKUP(V837,TD!$N$34:$O$46,2,0)," ")</f>
        <v>Servicio prevención y control de incendios</v>
      </c>
      <c r="X837" s="249" t="str">
        <f>CONCATENATE(V837,"_",W837)</f>
        <v>035_Servicio prevención y control de incendios</v>
      </c>
      <c r="Y837" s="249" t="str">
        <f>CONCATENATE(U837," ",X837)</f>
        <v>06-Servicio de inspecciones técnicas realizadas 035_Servicio prevención y control de incendios</v>
      </c>
      <c r="Z837" s="248" t="str">
        <f>CONCATENATE(P837,Q837,R837,S837,V837)</f>
        <v>O23011745032024025506035</v>
      </c>
      <c r="AA837" s="248" t="str">
        <f>IFERROR(VLOOKUP(Y837,TD!$K$47:$L$65,2,0)," ")</f>
        <v>PM/0131/0106/45030350255</v>
      </c>
      <c r="AB837" s="131" t="s">
        <v>138</v>
      </c>
      <c r="AC837" s="301" t="s">
        <v>205</v>
      </c>
    </row>
    <row r="838" spans="2:29" ht="56" x14ac:dyDescent="0.35">
      <c r="B838" s="132">
        <v>20250925</v>
      </c>
      <c r="C838" s="133" t="s">
        <v>209</v>
      </c>
      <c r="D838" s="298" t="s">
        <v>167</v>
      </c>
      <c r="E838" s="302" t="s">
        <v>505</v>
      </c>
      <c r="F838" s="246" t="s">
        <v>1085</v>
      </c>
      <c r="G838" s="246" t="s">
        <v>156</v>
      </c>
      <c r="H838" s="93">
        <v>80111600</v>
      </c>
      <c r="I838" s="247">
        <v>10</v>
      </c>
      <c r="J838" s="247">
        <v>1</v>
      </c>
      <c r="K838" s="52">
        <v>0</v>
      </c>
      <c r="L838" s="53">
        <v>8000000</v>
      </c>
      <c r="M838" s="142" t="s">
        <v>464</v>
      </c>
      <c r="N838" s="131" t="s">
        <v>113</v>
      </c>
      <c r="O838" s="252" t="s">
        <v>221</v>
      </c>
      <c r="P838" s="248" t="str">
        <f>IFERROR(VLOOKUP(C838,TD!$B$33:$F$37,2,0)," ")</f>
        <v>O230117</v>
      </c>
      <c r="Q838" s="248" t="str">
        <f>IFERROR(VLOOKUP(C838,TD!$B$33:$F$37,3,0)," ")</f>
        <v>4503</v>
      </c>
      <c r="R838" s="248">
        <f>IFERROR(VLOOKUP(C838,TD!$B$33:$F$37,4,0)," ")</f>
        <v>20240255</v>
      </c>
      <c r="S838" s="252" t="s">
        <v>181</v>
      </c>
      <c r="T838" s="254" t="str">
        <f>IFERROR(VLOOKUP(S838,TD!$J$34:$K$44,2,0)," ")</f>
        <v>Servicio de inspecciones técnicas realizadas</v>
      </c>
      <c r="U838" s="252" t="str">
        <f>CONCATENATE(S838,"-",T838)</f>
        <v>06-Servicio de inspecciones técnicas realizadas</v>
      </c>
      <c r="V838" s="252" t="s">
        <v>234</v>
      </c>
      <c r="W838" s="254" t="str">
        <f>IFERROR(VLOOKUP(V838,TD!$N$34:$O$46,2,0)," ")</f>
        <v>Servicio prevención y control de incendios</v>
      </c>
      <c r="X838" s="249" t="str">
        <f>CONCATENATE(V838,"_",W838)</f>
        <v>035_Servicio prevención y control de incendios</v>
      </c>
      <c r="Y838" s="249" t="str">
        <f>CONCATENATE(U838," ",X838)</f>
        <v>06-Servicio de inspecciones técnicas realizadas 035_Servicio prevención y control de incendios</v>
      </c>
      <c r="Z838" s="248" t="str">
        <f>CONCATENATE(P838,Q838,R838,S838,V838)</f>
        <v>O23011745032024025506035</v>
      </c>
      <c r="AA838" s="248" t="str">
        <f>IFERROR(VLOOKUP(Y838,TD!$K$47:$L$65,2,0)," ")</f>
        <v>PM/0131/0106/45030350255</v>
      </c>
      <c r="AB838" s="131" t="s">
        <v>138</v>
      </c>
      <c r="AC838" s="301" t="s">
        <v>205</v>
      </c>
    </row>
    <row r="839" spans="2:29" ht="56" x14ac:dyDescent="0.35">
      <c r="B839" s="132">
        <v>20250926</v>
      </c>
      <c r="C839" s="133" t="s">
        <v>209</v>
      </c>
      <c r="D839" s="298" t="s">
        <v>167</v>
      </c>
      <c r="E839" s="302" t="s">
        <v>505</v>
      </c>
      <c r="F839" s="246" t="s">
        <v>1086</v>
      </c>
      <c r="G839" s="246" t="s">
        <v>156</v>
      </c>
      <c r="H839" s="93">
        <v>80111600</v>
      </c>
      <c r="I839" s="247">
        <v>10</v>
      </c>
      <c r="J839" s="247">
        <v>3</v>
      </c>
      <c r="K839" s="52">
        <v>0</v>
      </c>
      <c r="L839" s="53">
        <v>12000000</v>
      </c>
      <c r="M839" s="142" t="s">
        <v>464</v>
      </c>
      <c r="N839" s="131" t="s">
        <v>113</v>
      </c>
      <c r="O839" s="252" t="s">
        <v>221</v>
      </c>
      <c r="P839" s="248" t="str">
        <f>IFERROR(VLOOKUP(C839,TD!$B$33:$F$37,2,0)," ")</f>
        <v>O230117</v>
      </c>
      <c r="Q839" s="248" t="str">
        <f>IFERROR(VLOOKUP(C839,TD!$B$33:$F$37,3,0)," ")</f>
        <v>4503</v>
      </c>
      <c r="R839" s="248">
        <f>IFERROR(VLOOKUP(C839,TD!$B$33:$F$37,4,0)," ")</f>
        <v>20240255</v>
      </c>
      <c r="S839" s="252" t="s">
        <v>181</v>
      </c>
      <c r="T839" s="254" t="str">
        <f>IFERROR(VLOOKUP(S839,TD!$J$34:$K$44,2,0)," ")</f>
        <v>Servicio de inspecciones técnicas realizadas</v>
      </c>
      <c r="U839" s="252" t="str">
        <f>CONCATENATE(S839,"-",T839)</f>
        <v>06-Servicio de inspecciones técnicas realizadas</v>
      </c>
      <c r="V839" s="252" t="s">
        <v>234</v>
      </c>
      <c r="W839" s="254" t="str">
        <f>IFERROR(VLOOKUP(V839,TD!$N$34:$O$46,2,0)," ")</f>
        <v>Servicio prevención y control de incendios</v>
      </c>
      <c r="X839" s="249" t="str">
        <f>CONCATENATE(V839,"_",W839)</f>
        <v>035_Servicio prevención y control de incendios</v>
      </c>
      <c r="Y839" s="249" t="str">
        <f>CONCATENATE(U839," ",X839)</f>
        <v>06-Servicio de inspecciones técnicas realizadas 035_Servicio prevención y control de incendios</v>
      </c>
      <c r="Z839" s="248" t="str">
        <f>CONCATENATE(P839,Q839,R839,S839,V839)</f>
        <v>O23011745032024025506035</v>
      </c>
      <c r="AA839" s="248" t="str">
        <f>IFERROR(VLOOKUP(Y839,TD!$K$47:$L$65,2,0)," ")</f>
        <v>PM/0131/0106/45030350255</v>
      </c>
      <c r="AB839" s="131" t="s">
        <v>138</v>
      </c>
      <c r="AC839" s="301" t="s">
        <v>205</v>
      </c>
    </row>
    <row r="840" spans="2:29" ht="70" x14ac:dyDescent="0.35">
      <c r="B840" s="132">
        <v>20250927</v>
      </c>
      <c r="C840" s="50" t="s">
        <v>209</v>
      </c>
      <c r="D840" s="246" t="s">
        <v>167</v>
      </c>
      <c r="E840" s="51" t="s">
        <v>505</v>
      </c>
      <c r="F840" s="246" t="s">
        <v>1087</v>
      </c>
      <c r="G840" s="246" t="s">
        <v>156</v>
      </c>
      <c r="H840" s="93">
        <v>80111600</v>
      </c>
      <c r="I840" s="247">
        <v>10</v>
      </c>
      <c r="J840" s="247">
        <v>3</v>
      </c>
      <c r="K840" s="52">
        <v>0</v>
      </c>
      <c r="L840" s="53">
        <v>12000000</v>
      </c>
      <c r="M840" s="136" t="s">
        <v>464</v>
      </c>
      <c r="N840" s="53" t="s">
        <v>113</v>
      </c>
      <c r="O840" s="252" t="s">
        <v>221</v>
      </c>
      <c r="P840" s="248" t="str">
        <f>IFERROR(VLOOKUP(C840,TD!$B$33:$F$37,2,0)," ")</f>
        <v>O230117</v>
      </c>
      <c r="Q840" s="248" t="str">
        <f>IFERROR(VLOOKUP(C840,TD!$B$33:$F$37,3,0)," ")</f>
        <v>4503</v>
      </c>
      <c r="R840" s="248">
        <f>IFERROR(VLOOKUP(C840,TD!$B$33:$F$37,4,0)," ")</f>
        <v>20240255</v>
      </c>
      <c r="S840" s="252" t="s">
        <v>181</v>
      </c>
      <c r="T840" s="254" t="str">
        <f>IFERROR(VLOOKUP(S840,TD!$J$34:$K$44,2,0)," ")</f>
        <v>Servicio de inspecciones técnicas realizadas</v>
      </c>
      <c r="U840" s="252" t="str">
        <f>CONCATENATE(S840,"-",T840)</f>
        <v>06-Servicio de inspecciones técnicas realizadas</v>
      </c>
      <c r="V840" s="252" t="s">
        <v>234</v>
      </c>
      <c r="W840" s="254" t="str">
        <f>IFERROR(VLOOKUP(V840,TD!$N$34:$O$46,2,0)," ")</f>
        <v>Servicio prevención y control de incendios</v>
      </c>
      <c r="X840" s="249" t="str">
        <f>CONCATENATE(V840,"_",W840)</f>
        <v>035_Servicio prevención y control de incendios</v>
      </c>
      <c r="Y840" s="249" t="str">
        <f>CONCATENATE(U840," ",X840)</f>
        <v>06-Servicio de inspecciones técnicas realizadas 035_Servicio prevención y control de incendios</v>
      </c>
      <c r="Z840" s="248" t="str">
        <f>CONCATENATE(P840,Q840,R840,S840,V840)</f>
        <v>O23011745032024025506035</v>
      </c>
      <c r="AA840" s="248" t="str">
        <f>IFERROR(VLOOKUP(Y840,TD!$K$47:$L$65,2,0)," ")</f>
        <v>PM/0131/0106/45030350255</v>
      </c>
      <c r="AB840" s="53" t="s">
        <v>138</v>
      </c>
      <c r="AC840" s="250" t="s">
        <v>205</v>
      </c>
    </row>
    <row r="841" spans="2:29" ht="70" x14ac:dyDescent="0.35">
      <c r="B841" s="132">
        <v>20250928</v>
      </c>
      <c r="C841" s="50" t="s">
        <v>209</v>
      </c>
      <c r="D841" s="246" t="s">
        <v>167</v>
      </c>
      <c r="E841" s="51" t="s">
        <v>505</v>
      </c>
      <c r="F841" s="246" t="s">
        <v>1088</v>
      </c>
      <c r="G841" s="246" t="s">
        <v>155</v>
      </c>
      <c r="H841" s="93">
        <v>80111600</v>
      </c>
      <c r="I841" s="247">
        <v>11</v>
      </c>
      <c r="J841" s="247">
        <v>1</v>
      </c>
      <c r="K841" s="52">
        <v>15</v>
      </c>
      <c r="L841" s="53">
        <v>9333333</v>
      </c>
      <c r="M841" s="136" t="s">
        <v>464</v>
      </c>
      <c r="N841" s="53" t="s">
        <v>113</v>
      </c>
      <c r="O841" s="252" t="s">
        <v>221</v>
      </c>
      <c r="P841" s="248" t="str">
        <f>IFERROR(VLOOKUP(C841,TD!$B$33:$F$37,2,0)," ")</f>
        <v>O230117</v>
      </c>
      <c r="Q841" s="248" t="str">
        <f>IFERROR(VLOOKUP(C841,TD!$B$33:$F$37,3,0)," ")</f>
        <v>4503</v>
      </c>
      <c r="R841" s="248">
        <f>IFERROR(VLOOKUP(C841,TD!$B$33:$F$37,4,0)," ")</f>
        <v>20240255</v>
      </c>
      <c r="S841" s="252" t="s">
        <v>177</v>
      </c>
      <c r="T841" s="254" t="str">
        <f>IFERROR(VLOOKUP(S841,TD!$J$34:$K$44,2,0)," ")</f>
        <v>Servicio de capacitaciones en gestión del riesgo de incendios  a la ciudadania.</v>
      </c>
      <c r="U841" s="252" t="str">
        <f>CONCATENATE(S841,"-",T841)</f>
        <v>05-Servicio de capacitaciones en gestión del riesgo de incendios  a la ciudadania.</v>
      </c>
      <c r="V841" s="252" t="s">
        <v>234</v>
      </c>
      <c r="W841" s="254" t="str">
        <f>IFERROR(VLOOKUP(V841,TD!$N$34:$O$46,2,0)," ")</f>
        <v>Servicio prevención y control de incendios</v>
      </c>
      <c r="X841" s="249" t="str">
        <f>CONCATENATE(V841,"_",W841)</f>
        <v>035_Servicio prevención y control de incendios</v>
      </c>
      <c r="Y841" s="249" t="str">
        <f>CONCATENATE(U841," ",X841)</f>
        <v>05-Servicio de capacitaciones en gestión del riesgo de incendios  a la ciudadania. 035_Servicio prevención y control de incendios</v>
      </c>
      <c r="Z841" s="248" t="str">
        <f>CONCATENATE(P841,Q841,R841,S841,V841)</f>
        <v>O23011745032024025505035</v>
      </c>
      <c r="AA841" s="248" t="str">
        <f>IFERROR(VLOOKUP(Y841,TD!$K$47:$L$65,2,0)," ")</f>
        <v>PM/0131/0105/45030350255</v>
      </c>
      <c r="AB841" s="53" t="s">
        <v>138</v>
      </c>
      <c r="AC841" s="250" t="s">
        <v>205</v>
      </c>
    </row>
    <row r="842" spans="2:29" ht="70" x14ac:dyDescent="0.35">
      <c r="B842" s="132">
        <v>20250929</v>
      </c>
      <c r="C842" s="50" t="s">
        <v>209</v>
      </c>
      <c r="D842" s="246" t="s">
        <v>167</v>
      </c>
      <c r="E842" s="51" t="s">
        <v>505</v>
      </c>
      <c r="F842" s="246" t="s">
        <v>1089</v>
      </c>
      <c r="G842" s="246" t="s">
        <v>155</v>
      </c>
      <c r="H842" s="93">
        <v>80111600</v>
      </c>
      <c r="I842" s="247">
        <v>12</v>
      </c>
      <c r="J842" s="247">
        <v>1</v>
      </c>
      <c r="K842" s="52">
        <v>0</v>
      </c>
      <c r="L842" s="53">
        <v>7000000</v>
      </c>
      <c r="M842" s="136" t="s">
        <v>464</v>
      </c>
      <c r="N842" s="53" t="s">
        <v>113</v>
      </c>
      <c r="O842" s="252" t="s">
        <v>221</v>
      </c>
      <c r="P842" s="248" t="str">
        <f>IFERROR(VLOOKUP(C842,TD!$B$33:$F$37,2,0)," ")</f>
        <v>O230117</v>
      </c>
      <c r="Q842" s="248" t="str">
        <f>IFERROR(VLOOKUP(C842,TD!$B$33:$F$37,3,0)," ")</f>
        <v>4503</v>
      </c>
      <c r="R842" s="248">
        <f>IFERROR(VLOOKUP(C842,TD!$B$33:$F$37,4,0)," ")</f>
        <v>20240255</v>
      </c>
      <c r="S842" s="252" t="s">
        <v>177</v>
      </c>
      <c r="T842" s="254" t="str">
        <f>IFERROR(VLOOKUP(S842,TD!$J$34:$K$44,2,0)," ")</f>
        <v>Servicio de capacitaciones en gestión del riesgo de incendios  a la ciudadania.</v>
      </c>
      <c r="U842" s="252" t="str">
        <f>CONCATENATE(S842,"-",T842)</f>
        <v>05-Servicio de capacitaciones en gestión del riesgo de incendios  a la ciudadania.</v>
      </c>
      <c r="V842" s="252" t="s">
        <v>233</v>
      </c>
      <c r="W842" s="254" t="str">
        <f>IFERROR(VLOOKUP(V842,TD!$N$34:$O$46,2,0)," ")</f>
        <v>Servicio de educación informal</v>
      </c>
      <c r="X842" s="249" t="str">
        <f>CONCATENATE(V842,"_",W842)</f>
        <v>002_Servicio de educación informal</v>
      </c>
      <c r="Y842" s="249" t="str">
        <f>CONCATENATE(U842," ",X842)</f>
        <v>05-Servicio de capacitaciones en gestión del riesgo de incendios  a la ciudadania. 002_Servicio de educación informal</v>
      </c>
      <c r="Z842" s="248" t="str">
        <f>CONCATENATE(P842,Q842,R842,S842,V842)</f>
        <v>O23011745032024025505002</v>
      </c>
      <c r="AA842" s="248" t="str">
        <f>IFERROR(VLOOKUP(Y842,TD!$K$47:$L$65,2,0)," ")</f>
        <v>PM/0131/0105/45030020255</v>
      </c>
      <c r="AB842" s="53" t="s">
        <v>120</v>
      </c>
      <c r="AC842" s="250" t="s">
        <v>205</v>
      </c>
    </row>
    <row r="843" spans="2:29" ht="56" x14ac:dyDescent="0.35">
      <c r="B843" s="132">
        <v>20250930</v>
      </c>
      <c r="C843" s="50" t="s">
        <v>209</v>
      </c>
      <c r="D843" s="246" t="s">
        <v>167</v>
      </c>
      <c r="E843" s="51" t="s">
        <v>505</v>
      </c>
      <c r="F843" s="298" t="s">
        <v>1090</v>
      </c>
      <c r="G843" s="298" t="s">
        <v>155</v>
      </c>
      <c r="H843" s="134">
        <v>80111600</v>
      </c>
      <c r="I843" s="299">
        <v>12</v>
      </c>
      <c r="J843" s="299">
        <v>1</v>
      </c>
      <c r="K843" s="135">
        <v>0</v>
      </c>
      <c r="L843" s="131">
        <v>7000000</v>
      </c>
      <c r="M843" s="142" t="s">
        <v>464</v>
      </c>
      <c r="N843" s="131" t="s">
        <v>113</v>
      </c>
      <c r="O843" s="252" t="s">
        <v>221</v>
      </c>
      <c r="P843" s="300" t="str">
        <f>IFERROR(VLOOKUP(C843,TD!$B$33:$F$37,2,0)," ")</f>
        <v>O230117</v>
      </c>
      <c r="Q843" s="300" t="str">
        <f>IFERROR(VLOOKUP(C843,TD!$B$33:$F$37,3,0)," ")</f>
        <v>4503</v>
      </c>
      <c r="R843" s="300">
        <f>IFERROR(VLOOKUP(C843,TD!$B$33:$F$37,4,0)," ")</f>
        <v>20240255</v>
      </c>
      <c r="S843" s="252" t="s">
        <v>177</v>
      </c>
      <c r="T843" s="254" t="str">
        <f>IFERROR(VLOOKUP(S843,TD!$J$34:$K$44,2,0)," ")</f>
        <v>Servicio de capacitaciones en gestión del riesgo de incendios  a la ciudadania.</v>
      </c>
      <c r="U843" s="252" t="str">
        <f>CONCATENATE(S843,"-",T843)</f>
        <v>05-Servicio de capacitaciones en gestión del riesgo de incendios  a la ciudadania.</v>
      </c>
      <c r="V843" s="252" t="s">
        <v>234</v>
      </c>
      <c r="W843" s="254" t="str">
        <f>IFERROR(VLOOKUP(V843,TD!$N$34:$O$46,2,0)," ")</f>
        <v>Servicio prevención y control de incendios</v>
      </c>
      <c r="X843" s="296" t="str">
        <f>CONCATENATE(V843,"_",W843)</f>
        <v>035_Servicio prevención y control de incendios</v>
      </c>
      <c r="Y843" s="296" t="str">
        <f>CONCATENATE(U843," ",X843)</f>
        <v>05-Servicio de capacitaciones en gestión del riesgo de incendios  a la ciudadania. 035_Servicio prevención y control de incendios</v>
      </c>
      <c r="Z843" s="300" t="str">
        <f>CONCATENATE(P843,Q843,R843,S843,V843)</f>
        <v>O23011745032024025505035</v>
      </c>
      <c r="AA843" s="300" t="str">
        <f>IFERROR(VLOOKUP(Y843,TD!$K$47:$L$65,2,0)," ")</f>
        <v>PM/0131/0105/45030350255</v>
      </c>
      <c r="AB843" s="53" t="s">
        <v>138</v>
      </c>
      <c r="AC843" s="250" t="s">
        <v>205</v>
      </c>
    </row>
    <row r="844" spans="2:29" ht="70" x14ac:dyDescent="0.35">
      <c r="B844" s="132">
        <v>20250931</v>
      </c>
      <c r="C844" s="50" t="s">
        <v>209</v>
      </c>
      <c r="D844" s="246" t="s">
        <v>168</v>
      </c>
      <c r="E844" s="51" t="s">
        <v>600</v>
      </c>
      <c r="F844" s="298" t="s">
        <v>1092</v>
      </c>
      <c r="G844" s="298" t="s">
        <v>156</v>
      </c>
      <c r="H844" s="134">
        <v>80111600</v>
      </c>
      <c r="I844" s="299">
        <v>10</v>
      </c>
      <c r="J844" s="299">
        <v>3</v>
      </c>
      <c r="K844" s="135">
        <v>0</v>
      </c>
      <c r="L844" s="131">
        <v>9840000</v>
      </c>
      <c r="M844" s="142" t="s">
        <v>464</v>
      </c>
      <c r="N844" s="131" t="s">
        <v>113</v>
      </c>
      <c r="O844" s="252" t="s">
        <v>224</v>
      </c>
      <c r="P844" s="300" t="str">
        <f>IFERROR(VLOOKUP(C844,TD!$B$33:$F$37,2,0)," ")</f>
        <v>O230117</v>
      </c>
      <c r="Q844" s="300" t="str">
        <f>IFERROR(VLOOKUP(C844,TD!$B$33:$F$37,3,0)," ")</f>
        <v>4503</v>
      </c>
      <c r="R844" s="300">
        <f>IFERROR(VLOOKUP(C844,TD!$B$33:$F$37,4,0)," ")</f>
        <v>20240255</v>
      </c>
      <c r="S844" s="252" t="s">
        <v>191</v>
      </c>
      <c r="T844" s="254" t="str">
        <f>IFERROR(VLOOKUP(S844,TD!$J$34:$K$44,2,0)," ")</f>
        <v>Servicio de apoyo   logístico  en eventos operativos y/o emergencias.</v>
      </c>
      <c r="U844" s="252" t="str">
        <f>CONCATENATE(S844,"-",T844)</f>
        <v>12-Servicio de apoyo   logístico  en eventos operativos y/o emergencias.</v>
      </c>
      <c r="V844" s="252" t="s">
        <v>232</v>
      </c>
      <c r="W844" s="254" t="str">
        <f>IFERROR(VLOOKUP(V844,TD!$N$34:$O$46,2,0)," ")</f>
        <v>Servicio de atención a emergencias y desastres</v>
      </c>
      <c r="X844" s="296" t="str">
        <f>CONCATENATE(V844,"_",W844)</f>
        <v>004_Servicio de atención a emergencias y desastres</v>
      </c>
      <c r="Y844" s="296" t="str">
        <f>CONCATENATE(U844," ",X844)</f>
        <v>12-Servicio de apoyo   logístico  en eventos operativos y/o emergencias. 004_Servicio de atención a emergencias y desastres</v>
      </c>
      <c r="Z844" s="300" t="str">
        <f>CONCATENATE(P844,Q844,R844,S844,V844)</f>
        <v>O23011745032024025512004</v>
      </c>
      <c r="AA844" s="300" t="str">
        <f>IFERROR(VLOOKUP(Y844,TD!$K$47:$L$65,2,0)," ")</f>
        <v>PM/0131/0112/45030040255</v>
      </c>
      <c r="AB844" s="53" t="s">
        <v>138</v>
      </c>
      <c r="AC844" s="250" t="s">
        <v>205</v>
      </c>
    </row>
    <row r="845" spans="2:29" ht="84" x14ac:dyDescent="0.35">
      <c r="B845" s="132">
        <v>20250932</v>
      </c>
      <c r="C845" s="50" t="s">
        <v>209</v>
      </c>
      <c r="D845" s="246" t="s">
        <v>168</v>
      </c>
      <c r="E845" s="51" t="s">
        <v>600</v>
      </c>
      <c r="F845" s="298" t="s">
        <v>1093</v>
      </c>
      <c r="G845" s="298" t="s">
        <v>155</v>
      </c>
      <c r="H845" s="134">
        <v>80111600</v>
      </c>
      <c r="I845" s="299">
        <v>10</v>
      </c>
      <c r="J845" s="299">
        <v>2</v>
      </c>
      <c r="K845" s="135">
        <v>13</v>
      </c>
      <c r="L845" s="131">
        <v>10950000</v>
      </c>
      <c r="M845" s="142" t="s">
        <v>464</v>
      </c>
      <c r="N845" s="131" t="s">
        <v>113</v>
      </c>
      <c r="O845" s="252" t="s">
        <v>224</v>
      </c>
      <c r="P845" s="300" t="str">
        <f>IFERROR(VLOOKUP(C845,TD!$B$33:$F$37,2,0)," ")</f>
        <v>O230117</v>
      </c>
      <c r="Q845" s="300" t="str">
        <f>IFERROR(VLOOKUP(C845,TD!$B$33:$F$37,3,0)," ")</f>
        <v>4503</v>
      </c>
      <c r="R845" s="300">
        <f>IFERROR(VLOOKUP(C845,TD!$B$33:$F$37,4,0)," ")</f>
        <v>20240255</v>
      </c>
      <c r="S845" s="252" t="s">
        <v>191</v>
      </c>
      <c r="T845" s="254" t="str">
        <f>IFERROR(VLOOKUP(S845,TD!$J$34:$K$44,2,0)," ")</f>
        <v>Servicio de apoyo   logístico  en eventos operativos y/o emergencias.</v>
      </c>
      <c r="U845" s="252" t="str">
        <f>CONCATENATE(S845,"-",T845)</f>
        <v>12-Servicio de apoyo   logístico  en eventos operativos y/o emergencias.</v>
      </c>
      <c r="V845" s="252" t="s">
        <v>232</v>
      </c>
      <c r="W845" s="254" t="str">
        <f>IFERROR(VLOOKUP(V845,TD!$N$34:$O$46,2,0)," ")</f>
        <v>Servicio de atención a emergencias y desastres</v>
      </c>
      <c r="X845" s="296" t="str">
        <f>CONCATENATE(V845,"_",W845)</f>
        <v>004_Servicio de atención a emergencias y desastres</v>
      </c>
      <c r="Y845" s="296" t="str">
        <f>CONCATENATE(U845," ",X845)</f>
        <v>12-Servicio de apoyo   logístico  en eventos operativos y/o emergencias. 004_Servicio de atención a emergencias y desastres</v>
      </c>
      <c r="Z845" s="300" t="str">
        <f>CONCATENATE(P845,Q845,R845,S845,V845)</f>
        <v>O23011745032024025512004</v>
      </c>
      <c r="AA845" s="300" t="str">
        <f>IFERROR(VLOOKUP(Y845,TD!$K$47:$L$65,2,0)," ")</f>
        <v>PM/0131/0112/45030040255</v>
      </c>
      <c r="AB845" s="53" t="s">
        <v>138</v>
      </c>
      <c r="AC845" s="250" t="s">
        <v>205</v>
      </c>
    </row>
    <row r="846" spans="2:29" ht="392" x14ac:dyDescent="0.35">
      <c r="B846" s="137">
        <v>20250933</v>
      </c>
      <c r="C846" s="138" t="s">
        <v>209</v>
      </c>
      <c r="D846" s="292" t="s">
        <v>168</v>
      </c>
      <c r="E846" s="295" t="s">
        <v>600</v>
      </c>
      <c r="F846" s="292" t="s">
        <v>1094</v>
      </c>
      <c r="G846" s="292" t="s">
        <v>155</v>
      </c>
      <c r="H846" s="139">
        <v>80111600</v>
      </c>
      <c r="I846" s="293">
        <v>10</v>
      </c>
      <c r="J846" s="293">
        <v>3</v>
      </c>
      <c r="K846" s="140">
        <v>9</v>
      </c>
      <c r="L846" s="141">
        <v>21000000</v>
      </c>
      <c r="M846" s="158" t="s">
        <v>464</v>
      </c>
      <c r="N846" s="141" t="s">
        <v>113</v>
      </c>
      <c r="O846" s="252" t="s">
        <v>224</v>
      </c>
      <c r="P846" s="294" t="str">
        <f>IFERROR(VLOOKUP(C846,TD!$B$33:$F$37,2,0)," ")</f>
        <v>O230117</v>
      </c>
      <c r="Q846" s="294" t="str">
        <f>IFERROR(VLOOKUP(C846,TD!$B$33:$F$37,3,0)," ")</f>
        <v>4503</v>
      </c>
      <c r="R846" s="294">
        <f>IFERROR(VLOOKUP(C846,TD!$B$33:$F$37,4,0)," ")</f>
        <v>20240255</v>
      </c>
      <c r="S846" s="252" t="s">
        <v>191</v>
      </c>
      <c r="T846" s="254" t="str">
        <f>IFERROR(VLOOKUP(S846,TD!$J$34:$K$44,2,0)," ")</f>
        <v>Servicio de apoyo   logístico  en eventos operativos y/o emergencias.</v>
      </c>
      <c r="U846" s="252" t="str">
        <f>CONCATENATE(S846,"-",T846)</f>
        <v>12-Servicio de apoyo   logístico  en eventos operativos y/o emergencias.</v>
      </c>
      <c r="V846" s="252" t="s">
        <v>232</v>
      </c>
      <c r="W846" s="254" t="str">
        <f>IFERROR(VLOOKUP(V846,TD!$N$34:$O$46,2,0)," ")</f>
        <v>Servicio de atención a emergencias y desastres</v>
      </c>
      <c r="X846" s="296" t="str">
        <f>CONCATENATE(V846,"_",W846)</f>
        <v>004_Servicio de atención a emergencias y desastres</v>
      </c>
      <c r="Y846" s="296" t="str">
        <f>CONCATENATE(U846," ",X846)</f>
        <v>12-Servicio de apoyo   logístico  en eventos operativos y/o emergencias. 004_Servicio de atención a emergencias y desastres</v>
      </c>
      <c r="Z846" s="294" t="str">
        <f>CONCATENATE(P846,Q846,R846,S846,V846)</f>
        <v>O23011745032024025512004</v>
      </c>
      <c r="AA846" s="294" t="str">
        <f>IFERROR(VLOOKUP(Y846,TD!$K$47:$L$65,2,0)," ")</f>
        <v>PM/0131/0112/45030040255</v>
      </c>
      <c r="AB846" s="141" t="s">
        <v>138</v>
      </c>
      <c r="AC846" s="297" t="s">
        <v>205</v>
      </c>
    </row>
    <row r="847" spans="2:29" ht="98" x14ac:dyDescent="0.35">
      <c r="B847" s="132">
        <v>20250934</v>
      </c>
      <c r="C847" s="133" t="s">
        <v>209</v>
      </c>
      <c r="D847" s="298" t="s">
        <v>168</v>
      </c>
      <c r="E847" s="302" t="s">
        <v>600</v>
      </c>
      <c r="F847" s="298" t="s">
        <v>1095</v>
      </c>
      <c r="G847" s="298" t="s">
        <v>155</v>
      </c>
      <c r="H847" s="134">
        <v>80111600</v>
      </c>
      <c r="I847" s="299">
        <v>10</v>
      </c>
      <c r="J847" s="299">
        <v>3</v>
      </c>
      <c r="K847" s="135">
        <v>0</v>
      </c>
      <c r="L847" s="131">
        <v>24000000</v>
      </c>
      <c r="M847" s="142" t="s">
        <v>464</v>
      </c>
      <c r="N847" s="131" t="s">
        <v>113</v>
      </c>
      <c r="O847" s="252" t="s">
        <v>224</v>
      </c>
      <c r="P847" s="300" t="str">
        <f>IFERROR(VLOOKUP(C847,TD!$B$33:$F$37,2,0)," ")</f>
        <v>O230117</v>
      </c>
      <c r="Q847" s="300" t="str">
        <f>IFERROR(VLOOKUP(C847,TD!$B$33:$F$37,3,0)," ")</f>
        <v>4503</v>
      </c>
      <c r="R847" s="300">
        <f>IFERROR(VLOOKUP(C847,TD!$B$33:$F$37,4,0)," ")</f>
        <v>20240255</v>
      </c>
      <c r="S847" s="252" t="s">
        <v>191</v>
      </c>
      <c r="T847" s="254" t="str">
        <f>IFERROR(VLOOKUP(S847,TD!$J$34:$K$44,2,0)," ")</f>
        <v>Servicio de apoyo   logístico  en eventos operativos y/o emergencias.</v>
      </c>
      <c r="U847" s="252" t="str">
        <f>CONCATENATE(S847,"-",T847)</f>
        <v>12-Servicio de apoyo   logístico  en eventos operativos y/o emergencias.</v>
      </c>
      <c r="V847" s="252" t="s">
        <v>232</v>
      </c>
      <c r="W847" s="254" t="str">
        <f>IFERROR(VLOOKUP(V847,TD!$N$34:$O$46,2,0)," ")</f>
        <v>Servicio de atención a emergencias y desastres</v>
      </c>
      <c r="X847" s="296" t="str">
        <f>CONCATENATE(V847,"_",W847)</f>
        <v>004_Servicio de atención a emergencias y desastres</v>
      </c>
      <c r="Y847" s="296" t="str">
        <f>CONCATENATE(U847," ",X847)</f>
        <v>12-Servicio de apoyo   logístico  en eventos operativos y/o emergencias. 004_Servicio de atención a emergencias y desastres</v>
      </c>
      <c r="Z847" s="300" t="str">
        <f>CONCATENATE(P847,Q847,R847,S847,V847)</f>
        <v>O23011745032024025512004</v>
      </c>
      <c r="AA847" s="300" t="str">
        <f>IFERROR(VLOOKUP(Y847,TD!$K$47:$L$65,2,0)," ")</f>
        <v>PM/0131/0112/45030040255</v>
      </c>
      <c r="AB847" s="131" t="s">
        <v>138</v>
      </c>
      <c r="AC847" s="301" t="s">
        <v>205</v>
      </c>
    </row>
    <row r="848" spans="2:29" ht="84" x14ac:dyDescent="0.35">
      <c r="B848" s="132">
        <v>20250935</v>
      </c>
      <c r="C848" s="133" t="s">
        <v>209</v>
      </c>
      <c r="D848" s="298" t="s">
        <v>168</v>
      </c>
      <c r="E848" s="302" t="s">
        <v>600</v>
      </c>
      <c r="F848" s="298" t="s">
        <v>1096</v>
      </c>
      <c r="G848" s="298" t="s">
        <v>155</v>
      </c>
      <c r="H848" s="134">
        <v>80111600</v>
      </c>
      <c r="I848" s="299">
        <v>10</v>
      </c>
      <c r="J848" s="299">
        <v>3</v>
      </c>
      <c r="K848" s="135">
        <v>0</v>
      </c>
      <c r="L848" s="131">
        <v>16500000</v>
      </c>
      <c r="M848" s="142" t="s">
        <v>464</v>
      </c>
      <c r="N848" s="131" t="s">
        <v>113</v>
      </c>
      <c r="O848" s="252" t="s">
        <v>224</v>
      </c>
      <c r="P848" s="300" t="str">
        <f>IFERROR(VLOOKUP(C848,TD!$B$33:$F$37,2,0)," ")</f>
        <v>O230117</v>
      </c>
      <c r="Q848" s="300" t="str">
        <f>IFERROR(VLOOKUP(C848,TD!$B$33:$F$37,3,0)," ")</f>
        <v>4503</v>
      </c>
      <c r="R848" s="300">
        <f>IFERROR(VLOOKUP(C848,TD!$B$33:$F$37,4,0)," ")</f>
        <v>20240255</v>
      </c>
      <c r="S848" s="252" t="s">
        <v>191</v>
      </c>
      <c r="T848" s="254" t="str">
        <f>IFERROR(VLOOKUP(S848,TD!$J$34:$K$44,2,0)," ")</f>
        <v>Servicio de apoyo   logístico  en eventos operativos y/o emergencias.</v>
      </c>
      <c r="U848" s="252" t="str">
        <f>CONCATENATE(S848,"-",T848)</f>
        <v>12-Servicio de apoyo   logístico  en eventos operativos y/o emergencias.</v>
      </c>
      <c r="V848" s="252" t="s">
        <v>232</v>
      </c>
      <c r="W848" s="254" t="str">
        <f>IFERROR(VLOOKUP(V848,TD!$N$34:$O$46,2,0)," ")</f>
        <v>Servicio de atención a emergencias y desastres</v>
      </c>
      <c r="X848" s="296" t="str">
        <f>CONCATENATE(V848,"_",W848)</f>
        <v>004_Servicio de atención a emergencias y desastres</v>
      </c>
      <c r="Y848" s="296" t="str">
        <f>CONCATENATE(U848," ",X848)</f>
        <v>12-Servicio de apoyo   logístico  en eventos operativos y/o emergencias. 004_Servicio de atención a emergencias y desastres</v>
      </c>
      <c r="Z848" s="300" t="str">
        <f>CONCATENATE(P848,Q848,R848,S848,V848)</f>
        <v>O23011745032024025512004</v>
      </c>
      <c r="AA848" s="300" t="str">
        <f>IFERROR(VLOOKUP(Y848,TD!$K$47:$L$65,2,0)," ")</f>
        <v>PM/0131/0112/45030040255</v>
      </c>
      <c r="AB848" s="131" t="s">
        <v>138</v>
      </c>
      <c r="AC848" s="301" t="s">
        <v>205</v>
      </c>
    </row>
    <row r="849" spans="2:29" ht="56" x14ac:dyDescent="0.35">
      <c r="B849" s="132">
        <v>20250936</v>
      </c>
      <c r="C849" s="133" t="s">
        <v>209</v>
      </c>
      <c r="D849" s="298" t="s">
        <v>168</v>
      </c>
      <c r="E849" s="302" t="s">
        <v>600</v>
      </c>
      <c r="F849" s="298" t="s">
        <v>1097</v>
      </c>
      <c r="G849" s="298" t="s">
        <v>155</v>
      </c>
      <c r="H849" s="134">
        <v>80111600</v>
      </c>
      <c r="I849" s="299">
        <v>10</v>
      </c>
      <c r="J849" s="299">
        <v>2</v>
      </c>
      <c r="K849" s="135">
        <v>21</v>
      </c>
      <c r="L849" s="131">
        <v>17550000</v>
      </c>
      <c r="M849" s="142" t="s">
        <v>464</v>
      </c>
      <c r="N849" s="131" t="s">
        <v>113</v>
      </c>
      <c r="O849" s="252" t="s">
        <v>224</v>
      </c>
      <c r="P849" s="300" t="str">
        <f>IFERROR(VLOOKUP(C849,TD!$B$33:$F$37,2,0)," ")</f>
        <v>O230117</v>
      </c>
      <c r="Q849" s="300" t="str">
        <f>IFERROR(VLOOKUP(C849,TD!$B$33:$F$37,3,0)," ")</f>
        <v>4503</v>
      </c>
      <c r="R849" s="300">
        <f>IFERROR(VLOOKUP(C849,TD!$B$33:$F$37,4,0)," ")</f>
        <v>20240255</v>
      </c>
      <c r="S849" s="252" t="s">
        <v>191</v>
      </c>
      <c r="T849" s="254" t="str">
        <f>IFERROR(VLOOKUP(S849,TD!$J$34:$K$44,2,0)," ")</f>
        <v>Servicio de apoyo   logístico  en eventos operativos y/o emergencias.</v>
      </c>
      <c r="U849" s="252" t="str">
        <f>CONCATENATE(S849,"-",T849)</f>
        <v>12-Servicio de apoyo   logístico  en eventos operativos y/o emergencias.</v>
      </c>
      <c r="V849" s="252" t="s">
        <v>232</v>
      </c>
      <c r="W849" s="254" t="str">
        <f>IFERROR(VLOOKUP(V849,TD!$N$34:$O$46,2,0)," ")</f>
        <v>Servicio de atención a emergencias y desastres</v>
      </c>
      <c r="X849" s="296" t="str">
        <f>CONCATENATE(V849,"_",W849)</f>
        <v>004_Servicio de atención a emergencias y desastres</v>
      </c>
      <c r="Y849" s="296" t="str">
        <f>CONCATENATE(U849," ",X849)</f>
        <v>12-Servicio de apoyo   logístico  en eventos operativos y/o emergencias. 004_Servicio de atención a emergencias y desastres</v>
      </c>
      <c r="Z849" s="300" t="str">
        <f>CONCATENATE(P849,Q849,R849,S849,V849)</f>
        <v>O23011745032024025512004</v>
      </c>
      <c r="AA849" s="300" t="str">
        <f>IFERROR(VLOOKUP(Y849,TD!$K$47:$L$65,2,0)," ")</f>
        <v>PM/0131/0112/45030040255</v>
      </c>
      <c r="AB849" s="53" t="s">
        <v>138</v>
      </c>
      <c r="AC849" s="301" t="s">
        <v>205</v>
      </c>
    </row>
    <row r="850" spans="2:29" ht="70" x14ac:dyDescent="0.35">
      <c r="B850" s="77">
        <v>20250937</v>
      </c>
      <c r="C850" s="50" t="s">
        <v>346</v>
      </c>
      <c r="D850" s="246" t="s">
        <v>166</v>
      </c>
      <c r="E850" s="51" t="s">
        <v>558</v>
      </c>
      <c r="F850" s="246" t="s">
        <v>1099</v>
      </c>
      <c r="G850" s="246" t="s">
        <v>133</v>
      </c>
      <c r="H850" s="93" t="s">
        <v>1100</v>
      </c>
      <c r="I850" s="247">
        <v>4</v>
      </c>
      <c r="J850" s="247">
        <v>4</v>
      </c>
      <c r="K850" s="52">
        <v>0</v>
      </c>
      <c r="L850" s="53">
        <v>34872950</v>
      </c>
      <c r="M850" s="136" t="s">
        <v>172</v>
      </c>
      <c r="N850" s="53" t="s">
        <v>85</v>
      </c>
      <c r="O850" s="252" t="s">
        <v>347</v>
      </c>
      <c r="P850" s="248" t="str">
        <f>IFERROR(VLOOKUP(C850,TD!$B$33:$F$37,2,0)," ")</f>
        <v>NA</v>
      </c>
      <c r="Q850" s="248" t="str">
        <f>IFERROR(VLOOKUP(C850,TD!$B$33:$F$37,3,0)," ")</f>
        <v>NA</v>
      </c>
      <c r="R850" s="248" t="str">
        <f>IFERROR(VLOOKUP(C850,TD!$B$33:$F$37,4,0)," ")</f>
        <v>NA</v>
      </c>
      <c r="S850" s="252" t="s">
        <v>406</v>
      </c>
      <c r="T850" s="254" t="str">
        <f>IFERROR(VLOOKUP(S850,TD!$J$34:$K$44,2,0)," ")</f>
        <v>N/A</v>
      </c>
      <c r="U850" s="252" t="str">
        <f>CONCATENATE(S850,"-",T850)</f>
        <v>N/A-N/A</v>
      </c>
      <c r="V850" s="252" t="s">
        <v>406</v>
      </c>
      <c r="W850" s="254" t="str">
        <f>IFERROR(VLOOKUP(V850,TD!$N$34:$O$46,2,0)," ")</f>
        <v>N/A</v>
      </c>
      <c r="X850" s="249" t="str">
        <f>CONCATENATE(V850,"_",W850)</f>
        <v>N/A_N/A</v>
      </c>
      <c r="Y850" s="249" t="str">
        <f>CONCATENATE(U850," ",X850)</f>
        <v>N/A-N/A N/A_N/A</v>
      </c>
      <c r="Z850" s="248" t="str">
        <f>CONCATENATE(P850,Q850,R850,S850,V850)</f>
        <v>NANANAN/AN/A</v>
      </c>
      <c r="AA850" s="248" t="str">
        <f>IFERROR(VLOOKUP(Y850,TD!$K$47:$L$65,2,0)," ")</f>
        <v>N/A</v>
      </c>
      <c r="AB850" s="131" t="s">
        <v>348</v>
      </c>
      <c r="AC850" s="250" t="s">
        <v>205</v>
      </c>
    </row>
    <row r="851" spans="2:29" ht="56" x14ac:dyDescent="0.35">
      <c r="B851" s="132">
        <v>20250938</v>
      </c>
      <c r="C851" s="50" t="s">
        <v>208</v>
      </c>
      <c r="D851" s="246" t="s">
        <v>166</v>
      </c>
      <c r="E851" s="51" t="s">
        <v>558</v>
      </c>
      <c r="F851" s="298" t="s">
        <v>1101</v>
      </c>
      <c r="G851" s="298" t="s">
        <v>119</v>
      </c>
      <c r="H851" s="134" t="s">
        <v>1102</v>
      </c>
      <c r="I851" s="299">
        <v>10</v>
      </c>
      <c r="J851" s="299">
        <v>0</v>
      </c>
      <c r="K851" s="135">
        <v>0</v>
      </c>
      <c r="L851" s="131">
        <v>105454585</v>
      </c>
      <c r="M851" s="142" t="s">
        <v>464</v>
      </c>
      <c r="N851" s="131" t="s">
        <v>123</v>
      </c>
      <c r="O851" s="252" t="s">
        <v>218</v>
      </c>
      <c r="P851" s="300" t="str">
        <f>IFERROR(VLOOKUP(C851,TD!$B$33:$F$37,2,0)," ")</f>
        <v>O230117</v>
      </c>
      <c r="Q851" s="300" t="str">
        <f>IFERROR(VLOOKUP(C851,TD!$B$33:$F$37,3,0)," ")</f>
        <v>4599</v>
      </c>
      <c r="R851" s="300">
        <f>IFERROR(VLOOKUP(C851,TD!$B$33:$F$37,4,0)," ")</f>
        <v>20240207</v>
      </c>
      <c r="S851" s="252" t="s">
        <v>185</v>
      </c>
      <c r="T851" s="254" t="str">
        <f>IFERROR(VLOOKUP(S851,TD!$J$34:$K$44,2,0)," ")</f>
        <v>Infraestructura física, mantenimiento y dotación (Sedes construidas, mantenidas reforzadas)</v>
      </c>
      <c r="U851" s="252" t="str">
        <f>CONCATENATE(S851,"-",T851)</f>
        <v>08-Infraestructura física, mantenimiento y dotación (Sedes construidas, mantenidas reforzadas)</v>
      </c>
      <c r="V851" s="252" t="s">
        <v>238</v>
      </c>
      <c r="W851" s="254" t="str">
        <f>IFERROR(VLOOKUP(V851,TD!$N$34:$O$46,2,0)," ")</f>
        <v>Sedes mantenidas</v>
      </c>
      <c r="X851" s="296" t="str">
        <f>CONCATENATE(V851,"_",W851)</f>
        <v>016_Sedes mantenidas</v>
      </c>
      <c r="Y851" s="296" t="str">
        <f>CONCATENATE(U851," ",X851)</f>
        <v>08-Infraestructura física, mantenimiento y dotación (Sedes construidas, mantenidas reforzadas) 016_Sedes mantenidas</v>
      </c>
      <c r="Z851" s="300" t="str">
        <f>CONCATENATE(P851,Q851,R851,S851,V851)</f>
        <v>O23011745992024020708016</v>
      </c>
      <c r="AA851" s="300" t="str">
        <f>IFERROR(VLOOKUP(Y851,TD!$K$47:$L$65,2,0)," ")</f>
        <v>PM/0131/0108/45990160207</v>
      </c>
      <c r="AB851" s="131" t="s">
        <v>147</v>
      </c>
      <c r="AC851" s="301" t="s">
        <v>205</v>
      </c>
    </row>
    <row r="852" spans="2:29" ht="56" x14ac:dyDescent="0.35">
      <c r="B852" s="132">
        <v>20250939</v>
      </c>
      <c r="C852" s="50" t="s">
        <v>346</v>
      </c>
      <c r="D852" s="246" t="s">
        <v>166</v>
      </c>
      <c r="E852" s="51" t="s">
        <v>558</v>
      </c>
      <c r="F852" s="298" t="s">
        <v>1103</v>
      </c>
      <c r="G852" s="298" t="s">
        <v>157</v>
      </c>
      <c r="H852" s="134" t="s">
        <v>635</v>
      </c>
      <c r="I852" s="299">
        <v>10</v>
      </c>
      <c r="J852" s="299">
        <v>5</v>
      </c>
      <c r="K852" s="135">
        <v>0</v>
      </c>
      <c r="L852" s="131">
        <v>9300000</v>
      </c>
      <c r="M852" s="142" t="s">
        <v>172</v>
      </c>
      <c r="N852" s="131" t="s">
        <v>157</v>
      </c>
      <c r="O852" s="252" t="s">
        <v>347</v>
      </c>
      <c r="P852" s="300" t="str">
        <f>IFERROR(VLOOKUP(C852,TD!$B$33:$F$37,2,0)," ")</f>
        <v>NA</v>
      </c>
      <c r="Q852" s="300" t="str">
        <f>IFERROR(VLOOKUP(C852,TD!$B$33:$F$37,3,0)," ")</f>
        <v>NA</v>
      </c>
      <c r="R852" s="300" t="str">
        <f>IFERROR(VLOOKUP(C852,TD!$B$33:$F$37,4,0)," ")</f>
        <v>NA</v>
      </c>
      <c r="S852" s="252" t="s">
        <v>406</v>
      </c>
      <c r="T852" s="254" t="str">
        <f>IFERROR(VLOOKUP(S852,TD!$J$34:$K$44,2,0)," ")</f>
        <v>N/A</v>
      </c>
      <c r="U852" s="252" t="str">
        <f>CONCATENATE(S852,"-",T852)</f>
        <v>N/A-N/A</v>
      </c>
      <c r="V852" s="252" t="s">
        <v>406</v>
      </c>
      <c r="W852" s="254" t="str">
        <f>IFERROR(VLOOKUP(V852,TD!$N$34:$O$46,2,0)," ")</f>
        <v>N/A</v>
      </c>
      <c r="X852" s="296" t="str">
        <f>CONCATENATE(V852,"_",W852)</f>
        <v>N/A_N/A</v>
      </c>
      <c r="Y852" s="296" t="str">
        <f>CONCATENATE(U852," ",X852)</f>
        <v>N/A-N/A N/A_N/A</v>
      </c>
      <c r="Z852" s="300" t="str">
        <f>CONCATENATE(P852,Q852,R852,S852,V852)</f>
        <v>NANANAN/AN/A</v>
      </c>
      <c r="AA852" s="300" t="str">
        <f>IFERROR(VLOOKUP(Y852,TD!$K$47:$L$65,2,0)," ")</f>
        <v>N/A</v>
      </c>
      <c r="AB852" s="131" t="s">
        <v>348</v>
      </c>
      <c r="AC852" s="301" t="s">
        <v>205</v>
      </c>
    </row>
    <row r="853" spans="2:29" ht="56" x14ac:dyDescent="0.35">
      <c r="B853" s="132">
        <v>20250940</v>
      </c>
      <c r="C853" s="50" t="s">
        <v>208</v>
      </c>
      <c r="D853" s="246" t="s">
        <v>45</v>
      </c>
      <c r="E853" s="51" t="s">
        <v>355</v>
      </c>
      <c r="F853" s="298" t="s">
        <v>1104</v>
      </c>
      <c r="G853" s="298" t="s">
        <v>155</v>
      </c>
      <c r="H853" s="134">
        <v>80111600</v>
      </c>
      <c r="I853" s="299">
        <v>8</v>
      </c>
      <c r="J853" s="299">
        <v>3</v>
      </c>
      <c r="K853" s="135">
        <v>0</v>
      </c>
      <c r="L853" s="131">
        <v>29400000</v>
      </c>
      <c r="M853" s="142" t="s">
        <v>464</v>
      </c>
      <c r="N853" s="131" t="s">
        <v>113</v>
      </c>
      <c r="O853" s="252" t="s">
        <v>219</v>
      </c>
      <c r="P853" s="300" t="str">
        <f>IFERROR(VLOOKUP(C853,TD!$B$33:$F$37,2,0)," ")</f>
        <v>O230117</v>
      </c>
      <c r="Q853" s="300" t="str">
        <f>IFERROR(VLOOKUP(C853,TD!$B$33:$F$37,3,0)," ")</f>
        <v>4599</v>
      </c>
      <c r="R853" s="300">
        <f>IFERROR(VLOOKUP(C853,TD!$B$33:$F$37,4,0)," ")</f>
        <v>20240207</v>
      </c>
      <c r="S853" s="252" t="s">
        <v>185</v>
      </c>
      <c r="T853" s="254" t="str">
        <f>IFERROR(VLOOKUP(S853,TD!$J$34:$K$44,2,0)," ")</f>
        <v>Infraestructura física, mantenimiento y dotación (Sedes construidas, mantenidas reforzadas)</v>
      </c>
      <c r="U853" s="252" t="str">
        <f>CONCATENATE(S853,"-",T853)</f>
        <v>08-Infraestructura física, mantenimiento y dotación (Sedes construidas, mantenidas reforzadas)</v>
      </c>
      <c r="V853" s="252" t="s">
        <v>238</v>
      </c>
      <c r="W853" s="254" t="str">
        <f>IFERROR(VLOOKUP(V853,TD!$N$34:$O$46,2,0)," ")</f>
        <v>Sedes mantenidas</v>
      </c>
      <c r="X853" s="296" t="str">
        <f>CONCATENATE(V853,"_",W853)</f>
        <v>016_Sedes mantenidas</v>
      </c>
      <c r="Y853" s="296" t="str">
        <f>CONCATENATE(U853," ",X853)</f>
        <v>08-Infraestructura física, mantenimiento y dotación (Sedes construidas, mantenidas reforzadas) 016_Sedes mantenidas</v>
      </c>
      <c r="Z853" s="300" t="str">
        <f>CONCATENATE(P853,Q853,R853,S853,V853)</f>
        <v>O23011745992024020708016</v>
      </c>
      <c r="AA853" s="300" t="str">
        <f>IFERROR(VLOOKUP(Y853,TD!$K$47:$L$65,2,0)," ")</f>
        <v>PM/0131/0108/45990160207</v>
      </c>
      <c r="AB853" s="131" t="s">
        <v>138</v>
      </c>
      <c r="AC853" s="301" t="s">
        <v>205</v>
      </c>
    </row>
    <row r="854" spans="2:29" ht="56" x14ac:dyDescent="0.35">
      <c r="B854" s="132">
        <v>20250941</v>
      </c>
      <c r="C854" s="50" t="s">
        <v>208</v>
      </c>
      <c r="D854" s="246" t="s">
        <v>161</v>
      </c>
      <c r="E854" s="51" t="s">
        <v>355</v>
      </c>
      <c r="F854" s="298" t="s">
        <v>1105</v>
      </c>
      <c r="G854" s="298" t="s">
        <v>156</v>
      </c>
      <c r="H854" s="134">
        <v>80111600</v>
      </c>
      <c r="I854" s="299">
        <v>8</v>
      </c>
      <c r="J854" s="299">
        <v>3</v>
      </c>
      <c r="K854" s="135">
        <v>0</v>
      </c>
      <c r="L854" s="131">
        <v>13200000</v>
      </c>
      <c r="M854" s="298" t="s">
        <v>464</v>
      </c>
      <c r="N854" s="131" t="s">
        <v>113</v>
      </c>
      <c r="O854" s="51" t="s">
        <v>220</v>
      </c>
      <c r="P854" s="300" t="str">
        <f>IFERROR(VLOOKUP(C854,TD!$B$33:$F$37,2,0)," ")</f>
        <v>O230117</v>
      </c>
      <c r="Q854" s="300" t="str">
        <f>IFERROR(VLOOKUP(C854,TD!$B$33:$F$37,3,0)," ")</f>
        <v>4599</v>
      </c>
      <c r="R854" s="300">
        <f>IFERROR(VLOOKUP(C854,TD!$B$33:$F$37,4,0)," ")</f>
        <v>20240207</v>
      </c>
      <c r="S854" s="51" t="s">
        <v>193</v>
      </c>
      <c r="T854" s="248" t="str">
        <f>IFERROR(VLOOKUP(S854,TD!$J$34:$K$44,2,0)," ")</f>
        <v>Servicios para la planeación y sistemas de gestión y comunicación estratégica</v>
      </c>
      <c r="U854" s="249" t="str">
        <f>CONCATENATE(S854,"-",T854)</f>
        <v>13-Servicios para la planeación y sistemas de gestión y comunicación estratégica</v>
      </c>
      <c r="V854" s="51" t="s">
        <v>242</v>
      </c>
      <c r="W854" s="248" t="str">
        <f>IFERROR(VLOOKUP(V854,TD!$N$34:$O$46,2,0)," ")</f>
        <v>Documentos de planeación</v>
      </c>
      <c r="X854" s="296" t="str">
        <f>CONCATENATE(V854,"_",W854)</f>
        <v>019_Documentos de planeación</v>
      </c>
      <c r="Y854" s="296" t="str">
        <f>CONCATENATE(U854," ",X854)</f>
        <v>13-Servicios para la planeación y sistemas de gestión y comunicación estratégica 019_Documentos de planeación</v>
      </c>
      <c r="Z854" s="300" t="str">
        <f>CONCATENATE(P854,Q854,R854,S854,V854)</f>
        <v>O23011745992024020713019</v>
      </c>
      <c r="AA854" s="300" t="str">
        <f>IFERROR(VLOOKUP(Y854,TD!$K$47:$L$65,2,0)," ")</f>
        <v>PM/0131/0113/45990190207</v>
      </c>
      <c r="AB854" s="131" t="s">
        <v>138</v>
      </c>
      <c r="AC854" s="301" t="s">
        <v>205</v>
      </c>
    </row>
    <row r="855" spans="2:29" ht="56" x14ac:dyDescent="0.35">
      <c r="B855" s="132">
        <v>20250942</v>
      </c>
      <c r="C855" s="50" t="s">
        <v>209</v>
      </c>
      <c r="D855" s="246" t="s">
        <v>165</v>
      </c>
      <c r="E855" s="51" t="s">
        <v>484</v>
      </c>
      <c r="F855" s="298" t="s">
        <v>1109</v>
      </c>
      <c r="G855" s="298" t="s">
        <v>155</v>
      </c>
      <c r="H855" s="134">
        <v>80111600</v>
      </c>
      <c r="I855" s="299">
        <v>10</v>
      </c>
      <c r="J855" s="299">
        <v>3</v>
      </c>
      <c r="K855" s="135">
        <v>0</v>
      </c>
      <c r="L855" s="131">
        <v>21170000</v>
      </c>
      <c r="M855" s="142" t="s">
        <v>464</v>
      </c>
      <c r="N855" s="131" t="s">
        <v>113</v>
      </c>
      <c r="O855" s="51" t="s">
        <v>229</v>
      </c>
      <c r="P855" s="300" t="str">
        <f>IFERROR(VLOOKUP(C855,TD!$B$33:$F$37,2,0)," ")</f>
        <v>O230117</v>
      </c>
      <c r="Q855" s="300" t="str">
        <f>IFERROR(VLOOKUP(C855,TD!$B$33:$F$37,3,0)," ")</f>
        <v>4503</v>
      </c>
      <c r="R855" s="300">
        <f>IFERROR(VLOOKUP(C855,TD!$B$33:$F$37,4,0)," ")</f>
        <v>20240255</v>
      </c>
      <c r="S855" s="51" t="s">
        <v>183</v>
      </c>
      <c r="T855" s="248" t="str">
        <f>IFERROR(VLOOKUP(S855,TD!$J$34:$K$44,2,0)," ")</f>
        <v>Servicio de formación en gestión del riesgo de incendios para el personal UAECOB</v>
      </c>
      <c r="U855" s="249" t="str">
        <f>CONCATENATE(S855,"-",T855)</f>
        <v>07-Servicio de formación en gestión del riesgo de incendios para el personal UAECOB</v>
      </c>
      <c r="V855" s="51" t="s">
        <v>233</v>
      </c>
      <c r="W855" s="248" t="str">
        <f>IFERROR(VLOOKUP(V855,TD!$N$34:$O$46,2,0)," ")</f>
        <v>Servicio de educación informal</v>
      </c>
      <c r="X855" s="296" t="str">
        <f>CONCATENATE(V855,"_",W855)</f>
        <v>002_Servicio de educación informal</v>
      </c>
      <c r="Y855" s="296" t="str">
        <f>CONCATENATE(U855," ",X855)</f>
        <v>07-Servicio de formación en gestión del riesgo de incendios para el personal UAECOB 002_Servicio de educación informal</v>
      </c>
      <c r="Z855" s="300" t="str">
        <f>CONCATENATE(P855,Q855,R855,S855,V855)</f>
        <v>O23011745032024025507002</v>
      </c>
      <c r="AA855" s="300" t="str">
        <f>IFERROR(VLOOKUP(Y855,TD!$K$47:$L$65,2,0)," ")</f>
        <v>PM/0131/0107/45030020255</v>
      </c>
      <c r="AB855" s="131" t="s">
        <v>138</v>
      </c>
      <c r="AC855" s="301" t="s">
        <v>205</v>
      </c>
    </row>
    <row r="856" spans="2:29" ht="84" x14ac:dyDescent="0.35">
      <c r="B856" s="132">
        <v>20250943</v>
      </c>
      <c r="C856" s="50" t="s">
        <v>209</v>
      </c>
      <c r="D856" s="246" t="s">
        <v>165</v>
      </c>
      <c r="E856" s="51" t="s">
        <v>484</v>
      </c>
      <c r="F856" s="298" t="s">
        <v>1110</v>
      </c>
      <c r="G856" s="298" t="s">
        <v>155</v>
      </c>
      <c r="H856" s="134">
        <v>80111600</v>
      </c>
      <c r="I856" s="299">
        <v>10</v>
      </c>
      <c r="J856" s="299">
        <v>3</v>
      </c>
      <c r="K856" s="135">
        <v>0</v>
      </c>
      <c r="L856" s="131">
        <v>12750000</v>
      </c>
      <c r="M856" s="142" t="s">
        <v>464</v>
      </c>
      <c r="N856" s="131" t="s">
        <v>113</v>
      </c>
      <c r="O856" s="51" t="s">
        <v>229</v>
      </c>
      <c r="P856" s="300" t="str">
        <f>IFERROR(VLOOKUP(C856,TD!$B$33:$F$37,2,0)," ")</f>
        <v>O230117</v>
      </c>
      <c r="Q856" s="300" t="str">
        <f>IFERROR(VLOOKUP(C856,TD!$B$33:$F$37,3,0)," ")</f>
        <v>4503</v>
      </c>
      <c r="R856" s="300">
        <f>IFERROR(VLOOKUP(C856,TD!$B$33:$F$37,4,0)," ")</f>
        <v>20240255</v>
      </c>
      <c r="S856" s="51" t="s">
        <v>183</v>
      </c>
      <c r="T856" s="248" t="str">
        <f>IFERROR(VLOOKUP(S856,TD!$J$34:$K$44,2,0)," ")</f>
        <v>Servicio de formación en gestión del riesgo de incendios para el personal UAECOB</v>
      </c>
      <c r="U856" s="249" t="str">
        <f>CONCATENATE(S856,"-",T856)</f>
        <v>07-Servicio de formación en gestión del riesgo de incendios para el personal UAECOB</v>
      </c>
      <c r="V856" s="51" t="s">
        <v>233</v>
      </c>
      <c r="W856" s="248" t="str">
        <f>IFERROR(VLOOKUP(V856,TD!$N$34:$O$46,2,0)," ")</f>
        <v>Servicio de educación informal</v>
      </c>
      <c r="X856" s="296" t="str">
        <f>CONCATENATE(V856,"_",W856)</f>
        <v>002_Servicio de educación informal</v>
      </c>
      <c r="Y856" s="296" t="str">
        <f>CONCATENATE(U856," ",X856)</f>
        <v>07-Servicio de formación en gestión del riesgo de incendios para el personal UAECOB 002_Servicio de educación informal</v>
      </c>
      <c r="Z856" s="300" t="str">
        <f>CONCATENATE(P856,Q856,R856,S856,V856)</f>
        <v>O23011745032024025507002</v>
      </c>
      <c r="AA856" s="300" t="str">
        <f>IFERROR(VLOOKUP(Y856,TD!$K$47:$L$65,2,0)," ")</f>
        <v>PM/0131/0107/45030020255</v>
      </c>
      <c r="AB856" s="131" t="s">
        <v>138</v>
      </c>
      <c r="AC856" s="301" t="s">
        <v>205</v>
      </c>
    </row>
    <row r="857" spans="2:29" ht="56" x14ac:dyDescent="0.35">
      <c r="B857" s="137">
        <v>20250944</v>
      </c>
      <c r="C857" s="129" t="s">
        <v>209</v>
      </c>
      <c r="D857" s="251" t="s">
        <v>165</v>
      </c>
      <c r="E857" s="252" t="s">
        <v>484</v>
      </c>
      <c r="F857" s="292" t="s">
        <v>1111</v>
      </c>
      <c r="G857" s="292" t="s">
        <v>155</v>
      </c>
      <c r="H857" s="139">
        <v>80111600</v>
      </c>
      <c r="I857" s="293">
        <v>10</v>
      </c>
      <c r="J857" s="293">
        <v>2</v>
      </c>
      <c r="K857" s="140">
        <v>0</v>
      </c>
      <c r="L857" s="141">
        <v>13200000</v>
      </c>
      <c r="M857" s="158" t="s">
        <v>464</v>
      </c>
      <c r="N857" s="141" t="s">
        <v>113</v>
      </c>
      <c r="O857" s="252" t="s">
        <v>229</v>
      </c>
      <c r="P857" s="294" t="str">
        <f>IFERROR(VLOOKUP(C857,TD!$B$33:$F$37,2,0)," ")</f>
        <v>O230117</v>
      </c>
      <c r="Q857" s="294" t="str">
        <f>IFERROR(VLOOKUP(C857,TD!$B$33:$F$37,3,0)," ")</f>
        <v>4503</v>
      </c>
      <c r="R857" s="294">
        <f>IFERROR(VLOOKUP(C857,TD!$B$33:$F$37,4,0)," ")</f>
        <v>20240255</v>
      </c>
      <c r="S857" s="252" t="s">
        <v>183</v>
      </c>
      <c r="T857" s="254" t="str">
        <f>IFERROR(VLOOKUP(S857,TD!$J$34:$K$44,2,0)," ")</f>
        <v>Servicio de formación en gestión del riesgo de incendios para el personal UAECOB</v>
      </c>
      <c r="U857" s="249" t="str">
        <f>CONCATENATE(S857,"-",T857)</f>
        <v>07-Servicio de formación en gestión del riesgo de incendios para el personal UAECOB</v>
      </c>
      <c r="V857" s="252" t="s">
        <v>233</v>
      </c>
      <c r="W857" s="254" t="str">
        <f>IFERROR(VLOOKUP(V857,TD!$N$34:$O$46,2,0)," ")</f>
        <v>Servicio de educación informal</v>
      </c>
      <c r="X857" s="296" t="str">
        <f>CONCATENATE(V857,"_",W857)</f>
        <v>002_Servicio de educación informal</v>
      </c>
      <c r="Y857" s="296" t="str">
        <f>CONCATENATE(U857," ",X857)</f>
        <v>07-Servicio de formación en gestión del riesgo de incendios para el personal UAECOB 002_Servicio de educación informal</v>
      </c>
      <c r="Z857" s="294" t="str">
        <f>CONCATENATE(P857,Q857,R857,S857,V857)</f>
        <v>O23011745032024025507002</v>
      </c>
      <c r="AA857" s="294" t="str">
        <f>IFERROR(VLOOKUP(Y857,TD!$K$47:$L$65,2,0)," ")</f>
        <v>PM/0131/0107/45030020255</v>
      </c>
      <c r="AB857" s="141" t="s">
        <v>138</v>
      </c>
      <c r="AC857" s="297" t="s">
        <v>205</v>
      </c>
    </row>
    <row r="858" spans="2:29" ht="56" x14ac:dyDescent="0.35">
      <c r="B858" s="77">
        <v>20250945</v>
      </c>
      <c r="C858" s="50" t="s">
        <v>209</v>
      </c>
      <c r="D858" s="246" t="s">
        <v>165</v>
      </c>
      <c r="E858" s="51" t="s">
        <v>484</v>
      </c>
      <c r="F858" s="246" t="s">
        <v>1112</v>
      </c>
      <c r="G858" s="246" t="s">
        <v>155</v>
      </c>
      <c r="H858" s="93">
        <v>80111600</v>
      </c>
      <c r="I858" s="247">
        <v>10</v>
      </c>
      <c r="J858" s="247">
        <v>2</v>
      </c>
      <c r="K858" s="52">
        <v>0</v>
      </c>
      <c r="L858" s="53">
        <v>16500000</v>
      </c>
      <c r="M858" s="136" t="s">
        <v>464</v>
      </c>
      <c r="N858" s="53" t="s">
        <v>113</v>
      </c>
      <c r="O858" s="51" t="s">
        <v>229</v>
      </c>
      <c r="P858" s="248" t="str">
        <f>IFERROR(VLOOKUP(C858,TD!$B$33:$F$37,2,0)," ")</f>
        <v>O230117</v>
      </c>
      <c r="Q858" s="248" t="str">
        <f>IFERROR(VLOOKUP(C858,TD!$B$33:$F$37,3,0)," ")</f>
        <v>4503</v>
      </c>
      <c r="R858" s="248">
        <f>IFERROR(VLOOKUP(C858,TD!$B$33:$F$37,4,0)," ")</f>
        <v>20240255</v>
      </c>
      <c r="S858" s="51" t="s">
        <v>183</v>
      </c>
      <c r="T858" s="248" t="str">
        <f>IFERROR(VLOOKUP(S858,TD!$J$34:$K$44,2,0)," ")</f>
        <v>Servicio de formación en gestión del riesgo de incendios para el personal UAECOB</v>
      </c>
      <c r="U858" s="249" t="str">
        <f>CONCATENATE(S858,"-",T858)</f>
        <v>07-Servicio de formación en gestión del riesgo de incendios para el personal UAECOB</v>
      </c>
      <c r="V858" s="51" t="s">
        <v>233</v>
      </c>
      <c r="W858" s="248" t="str">
        <f>IFERROR(VLOOKUP(V858,TD!$N$34:$O$46,2,0)," ")</f>
        <v>Servicio de educación informal</v>
      </c>
      <c r="X858" s="249" t="str">
        <f>CONCATENATE(V858,"_",W858)</f>
        <v>002_Servicio de educación informal</v>
      </c>
      <c r="Y858" s="249" t="str">
        <f>CONCATENATE(U858," ",X858)</f>
        <v>07-Servicio de formación en gestión del riesgo de incendios para el personal UAECOB 002_Servicio de educación informal</v>
      </c>
      <c r="Z858" s="248" t="str">
        <f>CONCATENATE(P858,Q858,R858,S858,V858)</f>
        <v>O23011745032024025507002</v>
      </c>
      <c r="AA858" s="248" t="str">
        <f>IFERROR(VLOOKUP(Y858,TD!$K$47:$L$65,2,0)," ")</f>
        <v>PM/0131/0107/45030020255</v>
      </c>
      <c r="AB858" s="53" t="s">
        <v>138</v>
      </c>
      <c r="AC858" s="250" t="s">
        <v>205</v>
      </c>
    </row>
    <row r="859" spans="2:29" ht="56" x14ac:dyDescent="0.35">
      <c r="B859" s="132">
        <v>20250946</v>
      </c>
      <c r="C859" s="50" t="s">
        <v>209</v>
      </c>
      <c r="D859" s="246" t="s">
        <v>165</v>
      </c>
      <c r="E859" s="51" t="s">
        <v>484</v>
      </c>
      <c r="F859" s="298" t="s">
        <v>1113</v>
      </c>
      <c r="G859" s="298" t="s">
        <v>155</v>
      </c>
      <c r="H859" s="134">
        <v>80111600</v>
      </c>
      <c r="I859" s="299">
        <v>10</v>
      </c>
      <c r="J859" s="299">
        <v>2</v>
      </c>
      <c r="K859" s="135">
        <v>0</v>
      </c>
      <c r="L859" s="131">
        <v>19625000</v>
      </c>
      <c r="M859" s="142" t="s">
        <v>464</v>
      </c>
      <c r="N859" s="131" t="s">
        <v>113</v>
      </c>
      <c r="O859" s="51" t="s">
        <v>229</v>
      </c>
      <c r="P859" s="300" t="str">
        <f>IFERROR(VLOOKUP(C859,TD!$B$33:$F$37,2,0)," ")</f>
        <v>O230117</v>
      </c>
      <c r="Q859" s="300" t="str">
        <f>IFERROR(VLOOKUP(C859,TD!$B$33:$F$37,3,0)," ")</f>
        <v>4503</v>
      </c>
      <c r="R859" s="300">
        <f>IFERROR(VLOOKUP(C859,TD!$B$33:$F$37,4,0)," ")</f>
        <v>20240255</v>
      </c>
      <c r="S859" s="51" t="s">
        <v>183</v>
      </c>
      <c r="T859" s="248" t="str">
        <f>IFERROR(VLOOKUP(S859,TD!$J$34:$K$44,2,0)," ")</f>
        <v>Servicio de formación en gestión del riesgo de incendios para el personal UAECOB</v>
      </c>
      <c r="U859" s="249" t="str">
        <f>CONCATENATE(S859,"-",T859)</f>
        <v>07-Servicio de formación en gestión del riesgo de incendios para el personal UAECOB</v>
      </c>
      <c r="V859" s="51" t="s">
        <v>233</v>
      </c>
      <c r="W859" s="248" t="str">
        <f>IFERROR(VLOOKUP(V859,TD!$N$34:$O$46,2,0)," ")</f>
        <v>Servicio de educación informal</v>
      </c>
      <c r="X859" s="296" t="str">
        <f>CONCATENATE(V859,"_",W859)</f>
        <v>002_Servicio de educación informal</v>
      </c>
      <c r="Y859" s="296" t="str">
        <f>CONCATENATE(U859," ",X859)</f>
        <v>07-Servicio de formación en gestión del riesgo de incendios para el personal UAECOB 002_Servicio de educación informal</v>
      </c>
      <c r="Z859" s="300" t="str">
        <f>CONCATENATE(P859,Q859,R859,S859,V859)</f>
        <v>O23011745032024025507002</v>
      </c>
      <c r="AA859" s="300" t="str">
        <f>IFERROR(VLOOKUP(Y859,TD!$K$47:$L$65,2,0)," ")</f>
        <v>PM/0131/0107/45030020255</v>
      </c>
      <c r="AB859" s="131" t="s">
        <v>120</v>
      </c>
      <c r="AC859" s="301" t="s">
        <v>205</v>
      </c>
    </row>
    <row r="860" spans="2:29" ht="56" x14ac:dyDescent="0.35">
      <c r="B860" s="132">
        <v>20250947</v>
      </c>
      <c r="C860" s="50" t="s">
        <v>209</v>
      </c>
      <c r="D860" s="246" t="s">
        <v>165</v>
      </c>
      <c r="E860" s="51" t="s">
        <v>484</v>
      </c>
      <c r="F860" s="298" t="s">
        <v>1114</v>
      </c>
      <c r="G860" s="298" t="s">
        <v>155</v>
      </c>
      <c r="H860" s="134">
        <v>80111600</v>
      </c>
      <c r="I860" s="299">
        <v>10</v>
      </c>
      <c r="J860" s="299">
        <v>2</v>
      </c>
      <c r="K860" s="135">
        <v>0</v>
      </c>
      <c r="L860" s="131">
        <v>14375000</v>
      </c>
      <c r="M860" s="142" t="s">
        <v>464</v>
      </c>
      <c r="N860" s="131" t="s">
        <v>113</v>
      </c>
      <c r="O860" s="51" t="s">
        <v>229</v>
      </c>
      <c r="P860" s="300" t="str">
        <f>IFERROR(VLOOKUP(C860,TD!$B$33:$F$37,2,0)," ")</f>
        <v>O230117</v>
      </c>
      <c r="Q860" s="300" t="str">
        <f>IFERROR(VLOOKUP(C860,TD!$B$33:$F$37,3,0)," ")</f>
        <v>4503</v>
      </c>
      <c r="R860" s="300">
        <f>IFERROR(VLOOKUP(C860,TD!$B$33:$F$37,4,0)," ")</f>
        <v>20240255</v>
      </c>
      <c r="S860" s="51" t="s">
        <v>183</v>
      </c>
      <c r="T860" s="248" t="str">
        <f>IFERROR(VLOOKUP(S860,TD!$J$34:$K$44,2,0)," ")</f>
        <v>Servicio de formación en gestión del riesgo de incendios para el personal UAECOB</v>
      </c>
      <c r="U860" s="249" t="str">
        <f>CONCATENATE(S860,"-",T860)</f>
        <v>07-Servicio de formación en gestión del riesgo de incendios para el personal UAECOB</v>
      </c>
      <c r="V860" s="51" t="s">
        <v>233</v>
      </c>
      <c r="W860" s="248" t="str">
        <f>IFERROR(VLOOKUP(V860,TD!$N$34:$O$46,2,0)," ")</f>
        <v>Servicio de educación informal</v>
      </c>
      <c r="X860" s="296" t="str">
        <f>CONCATENATE(V860,"_",W860)</f>
        <v>002_Servicio de educación informal</v>
      </c>
      <c r="Y860" s="296" t="str">
        <f>CONCATENATE(U860," ",X860)</f>
        <v>07-Servicio de formación en gestión del riesgo de incendios para el personal UAECOB 002_Servicio de educación informal</v>
      </c>
      <c r="Z860" s="300" t="str">
        <f>CONCATENATE(P860,Q860,R860,S860,V860)</f>
        <v>O23011745032024025507002</v>
      </c>
      <c r="AA860" s="300" t="str">
        <f>IFERROR(VLOOKUP(Y860,TD!$K$47:$L$65,2,0)," ")</f>
        <v>PM/0131/0107/45030020255</v>
      </c>
      <c r="AB860" s="131" t="s">
        <v>138</v>
      </c>
      <c r="AC860" s="301" t="s">
        <v>205</v>
      </c>
    </row>
    <row r="861" spans="2:29" ht="56" x14ac:dyDescent="0.35">
      <c r="B861" s="132">
        <v>20250948</v>
      </c>
      <c r="C861" s="50" t="s">
        <v>209</v>
      </c>
      <c r="D861" s="246" t="s">
        <v>165</v>
      </c>
      <c r="E861" s="51" t="s">
        <v>484</v>
      </c>
      <c r="F861" s="298" t="s">
        <v>1115</v>
      </c>
      <c r="G861" s="298" t="s">
        <v>155</v>
      </c>
      <c r="H861" s="134">
        <v>80111600</v>
      </c>
      <c r="I861" s="299">
        <v>10</v>
      </c>
      <c r="J861" s="299">
        <v>2</v>
      </c>
      <c r="K861" s="135">
        <v>0</v>
      </c>
      <c r="L861" s="131">
        <v>19625000</v>
      </c>
      <c r="M861" s="142" t="s">
        <v>464</v>
      </c>
      <c r="N861" s="131" t="s">
        <v>113</v>
      </c>
      <c r="O861" s="51" t="s">
        <v>229</v>
      </c>
      <c r="P861" s="300" t="str">
        <f>IFERROR(VLOOKUP(C861,TD!$B$33:$F$37,2,0)," ")</f>
        <v>O230117</v>
      </c>
      <c r="Q861" s="300" t="str">
        <f>IFERROR(VLOOKUP(C861,TD!$B$33:$F$37,3,0)," ")</f>
        <v>4503</v>
      </c>
      <c r="R861" s="300">
        <f>IFERROR(VLOOKUP(C861,TD!$B$33:$F$37,4,0)," ")</f>
        <v>20240255</v>
      </c>
      <c r="S861" s="51" t="s">
        <v>183</v>
      </c>
      <c r="T861" s="248" t="str">
        <f>IFERROR(VLOOKUP(S861,TD!$J$34:$K$44,2,0)," ")</f>
        <v>Servicio de formación en gestión del riesgo de incendios para el personal UAECOB</v>
      </c>
      <c r="U861" s="249" t="str">
        <f>CONCATENATE(S861,"-",T861)</f>
        <v>07-Servicio de formación en gestión del riesgo de incendios para el personal UAECOB</v>
      </c>
      <c r="V861" s="51" t="s">
        <v>233</v>
      </c>
      <c r="W861" s="248" t="str">
        <f>IFERROR(VLOOKUP(V861,TD!$N$34:$O$46,2,0)," ")</f>
        <v>Servicio de educación informal</v>
      </c>
      <c r="X861" s="296" t="str">
        <f>CONCATENATE(V861,"_",W861)</f>
        <v>002_Servicio de educación informal</v>
      </c>
      <c r="Y861" s="296" t="str">
        <f>CONCATENATE(U861," ",X861)</f>
        <v>07-Servicio de formación en gestión del riesgo de incendios para el personal UAECOB 002_Servicio de educación informal</v>
      </c>
      <c r="Z861" s="300" t="str">
        <f>CONCATENATE(P861,Q861,R861,S861,V861)</f>
        <v>O23011745032024025507002</v>
      </c>
      <c r="AA861" s="300" t="str">
        <f>IFERROR(VLOOKUP(Y861,TD!$K$47:$L$65,2,0)," ")</f>
        <v>PM/0131/0107/45030020255</v>
      </c>
      <c r="AB861" s="131" t="s">
        <v>138</v>
      </c>
      <c r="AC861" s="301" t="s">
        <v>205</v>
      </c>
    </row>
    <row r="862" spans="2:29" ht="56" x14ac:dyDescent="0.35">
      <c r="B862" s="132">
        <v>20250949</v>
      </c>
      <c r="C862" s="50" t="s">
        <v>209</v>
      </c>
      <c r="D862" s="246" t="s">
        <v>165</v>
      </c>
      <c r="E862" s="51" t="s">
        <v>484</v>
      </c>
      <c r="F862" s="298" t="s">
        <v>1116</v>
      </c>
      <c r="G862" s="298" t="s">
        <v>155</v>
      </c>
      <c r="H862" s="134">
        <v>80111600</v>
      </c>
      <c r="I862" s="299">
        <v>10</v>
      </c>
      <c r="J862" s="299">
        <v>2</v>
      </c>
      <c r="K862" s="135">
        <v>0</v>
      </c>
      <c r="L862" s="131">
        <v>11500000</v>
      </c>
      <c r="M862" s="142" t="s">
        <v>464</v>
      </c>
      <c r="N862" s="131" t="s">
        <v>113</v>
      </c>
      <c r="O862" s="51" t="s">
        <v>229</v>
      </c>
      <c r="P862" s="300" t="str">
        <f>IFERROR(VLOOKUP(C862,TD!$B$33:$F$37,2,0)," ")</f>
        <v>O230117</v>
      </c>
      <c r="Q862" s="300" t="str">
        <f>IFERROR(VLOOKUP(C862,TD!$B$33:$F$37,3,0)," ")</f>
        <v>4503</v>
      </c>
      <c r="R862" s="300">
        <f>IFERROR(VLOOKUP(C862,TD!$B$33:$F$37,4,0)," ")</f>
        <v>20240255</v>
      </c>
      <c r="S862" s="51" t="s">
        <v>183</v>
      </c>
      <c r="T862" s="248" t="str">
        <f>IFERROR(VLOOKUP(S862,TD!$J$34:$K$44,2,0)," ")</f>
        <v>Servicio de formación en gestión del riesgo de incendios para el personal UAECOB</v>
      </c>
      <c r="U862" s="249" t="str">
        <f>CONCATENATE(S862,"-",T862)</f>
        <v>07-Servicio de formación en gestión del riesgo de incendios para el personal UAECOB</v>
      </c>
      <c r="V862" s="51" t="s">
        <v>233</v>
      </c>
      <c r="W862" s="248" t="str">
        <f>IFERROR(VLOOKUP(V862,TD!$N$34:$O$46,2,0)," ")</f>
        <v>Servicio de educación informal</v>
      </c>
      <c r="X862" s="296" t="str">
        <f>CONCATENATE(V862,"_",W862)</f>
        <v>002_Servicio de educación informal</v>
      </c>
      <c r="Y862" s="296" t="str">
        <f>CONCATENATE(U862," ",X862)</f>
        <v>07-Servicio de formación en gestión del riesgo de incendios para el personal UAECOB 002_Servicio de educación informal</v>
      </c>
      <c r="Z862" s="300" t="str">
        <f>CONCATENATE(P862,Q862,R862,S862,V862)</f>
        <v>O23011745032024025507002</v>
      </c>
      <c r="AA862" s="300" t="str">
        <f>IFERROR(VLOOKUP(Y862,TD!$K$47:$L$65,2,0)," ")</f>
        <v>PM/0131/0107/45030020255</v>
      </c>
      <c r="AB862" s="131" t="s">
        <v>138</v>
      </c>
      <c r="AC862" s="301" t="s">
        <v>205</v>
      </c>
    </row>
    <row r="863" spans="2:29" ht="56" x14ac:dyDescent="0.35">
      <c r="B863" s="132">
        <v>20250950</v>
      </c>
      <c r="C863" s="50" t="s">
        <v>208</v>
      </c>
      <c r="D863" s="246" t="s">
        <v>166</v>
      </c>
      <c r="E863" s="51" t="s">
        <v>558</v>
      </c>
      <c r="F863" s="298" t="s">
        <v>1122</v>
      </c>
      <c r="G863" s="298" t="s">
        <v>156</v>
      </c>
      <c r="H863" s="134" t="s">
        <v>606</v>
      </c>
      <c r="I863" s="299">
        <v>10</v>
      </c>
      <c r="J863" s="299">
        <v>1</v>
      </c>
      <c r="K863" s="135">
        <v>27</v>
      </c>
      <c r="L863" s="131">
        <v>6240223</v>
      </c>
      <c r="M863" s="142" t="s">
        <v>464</v>
      </c>
      <c r="N863" s="131" t="s">
        <v>607</v>
      </c>
      <c r="O863" s="51" t="s">
        <v>219</v>
      </c>
      <c r="P863" s="300" t="str">
        <f>IFERROR(VLOOKUP(C863,TD!$B$33:$F$37,2,0)," ")</f>
        <v>O230117</v>
      </c>
      <c r="Q863" s="300" t="str">
        <f>IFERROR(VLOOKUP(C863,TD!$B$33:$F$37,3,0)," ")</f>
        <v>4599</v>
      </c>
      <c r="R863" s="300">
        <f>IFERROR(VLOOKUP(C863,TD!$B$33:$F$37,4,0)," ")</f>
        <v>20240207</v>
      </c>
      <c r="S863" s="51" t="s">
        <v>185</v>
      </c>
      <c r="T863" s="248" t="str">
        <f>IFERROR(VLOOKUP(S863,TD!$J$34:$K$44,2,0)," ")</f>
        <v>Infraestructura física, mantenimiento y dotación (Sedes construidas, mantenidas reforzadas)</v>
      </c>
      <c r="U863" s="249" t="str">
        <f>CONCATENATE(S863,"-",T863)</f>
        <v>08-Infraestructura física, mantenimiento y dotación (Sedes construidas, mantenidas reforzadas)</v>
      </c>
      <c r="V863" s="51" t="s">
        <v>238</v>
      </c>
      <c r="W863" s="248" t="str">
        <f>IFERROR(VLOOKUP(V863,TD!$N$34:$O$46,2,0)," ")</f>
        <v>Sedes mantenidas</v>
      </c>
      <c r="X863" s="296" t="str">
        <f>CONCATENATE(V863,"_",W863)</f>
        <v>016_Sedes mantenidas</v>
      </c>
      <c r="Y863" s="296" t="str">
        <f>CONCATENATE(U863," ",X863)</f>
        <v>08-Infraestructura física, mantenimiento y dotación (Sedes construidas, mantenidas reforzadas) 016_Sedes mantenidas</v>
      </c>
      <c r="Z863" s="300" t="str">
        <f>CONCATENATE(P863,Q863,R863,S863,V863)</f>
        <v>O23011745992024020708016</v>
      </c>
      <c r="AA863" s="300" t="str">
        <f>IFERROR(VLOOKUP(Y863,TD!$K$47:$L$65,2,0)," ")</f>
        <v>PM/0131/0108/45990160207</v>
      </c>
      <c r="AB863" s="131" t="s">
        <v>138</v>
      </c>
      <c r="AC863" s="301" t="s">
        <v>205</v>
      </c>
    </row>
    <row r="864" spans="2:29" ht="56" x14ac:dyDescent="0.35">
      <c r="B864" s="160">
        <v>20250951</v>
      </c>
      <c r="C864" s="50" t="s">
        <v>208</v>
      </c>
      <c r="D864" s="246" t="s">
        <v>166</v>
      </c>
      <c r="E864" s="51" t="s">
        <v>558</v>
      </c>
      <c r="F864" s="260" t="s">
        <v>1123</v>
      </c>
      <c r="G864" s="260" t="s">
        <v>155</v>
      </c>
      <c r="H864" s="161" t="s">
        <v>606</v>
      </c>
      <c r="I864" s="261">
        <v>10</v>
      </c>
      <c r="J864" s="261">
        <v>2</v>
      </c>
      <c r="K864" s="162">
        <v>13</v>
      </c>
      <c r="L864" s="164">
        <v>22181503</v>
      </c>
      <c r="M864" s="163" t="s">
        <v>464</v>
      </c>
      <c r="N864" s="164" t="s">
        <v>607</v>
      </c>
      <c r="O864" s="51" t="s">
        <v>219</v>
      </c>
      <c r="P864" s="262" t="str">
        <f>IFERROR(VLOOKUP(C864,TD!$B$33:$F$37,2,0)," ")</f>
        <v>O230117</v>
      </c>
      <c r="Q864" s="262" t="str">
        <f>IFERROR(VLOOKUP(C864,TD!$B$33:$F$37,3,0)," ")</f>
        <v>4599</v>
      </c>
      <c r="R864" s="262">
        <f>IFERROR(VLOOKUP(C864,TD!$B$33:$F$37,4,0)," ")</f>
        <v>20240207</v>
      </c>
      <c r="S864" s="51" t="s">
        <v>185</v>
      </c>
      <c r="T864" s="248" t="str">
        <f>IFERROR(VLOOKUP(S864,TD!$J$34:$K$44,2,0)," ")</f>
        <v>Infraestructura física, mantenimiento y dotación (Sedes construidas, mantenidas reforzadas)</v>
      </c>
      <c r="U864" s="249" t="str">
        <f>CONCATENATE(S864,"-",T864)</f>
        <v>08-Infraestructura física, mantenimiento y dotación (Sedes construidas, mantenidas reforzadas)</v>
      </c>
      <c r="V864" s="51" t="s">
        <v>238</v>
      </c>
      <c r="W864" s="248" t="str">
        <f>IFERROR(VLOOKUP(V864,TD!$N$34:$O$46,2,0)," ")</f>
        <v>Sedes mantenidas</v>
      </c>
      <c r="X864" s="249" t="str">
        <f>CONCATENATE(V864,"_",W864)</f>
        <v>016_Sedes mantenidas</v>
      </c>
      <c r="Y864" s="249" t="str">
        <f>CONCATENATE(U864," ",X864)</f>
        <v>08-Infraestructura física, mantenimiento y dotación (Sedes construidas, mantenidas reforzadas) 016_Sedes mantenidas</v>
      </c>
      <c r="Z864" s="262" t="str">
        <f>CONCATENATE(P864,Q864,R864,S864,V864)</f>
        <v>O23011745992024020708016</v>
      </c>
      <c r="AA864" s="262" t="str">
        <f>IFERROR(VLOOKUP(Y864,TD!$K$47:$L$65,2,0)," ")</f>
        <v>PM/0131/0108/45990160207</v>
      </c>
      <c r="AB864" s="164" t="s">
        <v>138</v>
      </c>
      <c r="AC864" s="263" t="s">
        <v>205</v>
      </c>
    </row>
    <row r="865" spans="2:29" ht="70" x14ac:dyDescent="0.35">
      <c r="B865" s="166">
        <v>20250952</v>
      </c>
      <c r="C865" s="50" t="s">
        <v>208</v>
      </c>
      <c r="D865" s="246" t="s">
        <v>166</v>
      </c>
      <c r="E865" s="51" t="s">
        <v>558</v>
      </c>
      <c r="F865" s="260" t="s">
        <v>1124</v>
      </c>
      <c r="G865" s="260" t="s">
        <v>156</v>
      </c>
      <c r="H865" s="161" t="s">
        <v>606</v>
      </c>
      <c r="I865" s="261">
        <v>10</v>
      </c>
      <c r="J865" s="261">
        <v>0</v>
      </c>
      <c r="K865" s="162">
        <v>22</v>
      </c>
      <c r="L865" s="164">
        <v>2408507</v>
      </c>
      <c r="M865" s="163" t="s">
        <v>464</v>
      </c>
      <c r="N865" s="164" t="s">
        <v>607</v>
      </c>
      <c r="O865" s="51" t="s">
        <v>219</v>
      </c>
      <c r="P865" s="262" t="str">
        <f>IFERROR(VLOOKUP(C865,TD!$B$33:$F$37,2,0)," ")</f>
        <v>O230117</v>
      </c>
      <c r="Q865" s="262" t="str">
        <f>IFERROR(VLOOKUP(C865,TD!$B$33:$F$37,3,0)," ")</f>
        <v>4599</v>
      </c>
      <c r="R865" s="262">
        <f>IFERROR(VLOOKUP(C865,TD!$B$33:$F$37,4,0)," ")</f>
        <v>20240207</v>
      </c>
      <c r="S865" s="51" t="s">
        <v>185</v>
      </c>
      <c r="T865" s="248" t="str">
        <f>IFERROR(VLOOKUP(S865,TD!$J$34:$K$44,2,0)," ")</f>
        <v>Infraestructura física, mantenimiento y dotación (Sedes construidas, mantenidas reforzadas)</v>
      </c>
      <c r="U865" s="249" t="str">
        <f>CONCATENATE(S865,"-",T865)</f>
        <v>08-Infraestructura física, mantenimiento y dotación (Sedes construidas, mantenidas reforzadas)</v>
      </c>
      <c r="V865" s="51" t="s">
        <v>238</v>
      </c>
      <c r="W865" s="248" t="str">
        <f>IFERROR(VLOOKUP(V865,TD!$N$34:$O$46,2,0)," ")</f>
        <v>Sedes mantenidas</v>
      </c>
      <c r="X865" s="249" t="str">
        <f>CONCATENATE(V865,"_",W865)</f>
        <v>016_Sedes mantenidas</v>
      </c>
      <c r="Y865" s="249" t="str">
        <f>CONCATENATE(U865," ",X865)</f>
        <v>08-Infraestructura física, mantenimiento y dotación (Sedes construidas, mantenidas reforzadas) 016_Sedes mantenidas</v>
      </c>
      <c r="Z865" s="262" t="str">
        <f>CONCATENATE(P865,Q865,R865,S865,V865)</f>
        <v>O23011745992024020708016</v>
      </c>
      <c r="AA865" s="262" t="str">
        <f>IFERROR(VLOOKUP(Y865,TD!$K$47:$L$65,2,0)," ")</f>
        <v>PM/0131/0108/45990160207</v>
      </c>
      <c r="AB865" s="164" t="s">
        <v>138</v>
      </c>
      <c r="AC865" s="263" t="s">
        <v>205</v>
      </c>
    </row>
    <row r="866" spans="2:29" ht="56" x14ac:dyDescent="0.35">
      <c r="B866" s="166">
        <v>20250953</v>
      </c>
      <c r="C866" s="50" t="s">
        <v>208</v>
      </c>
      <c r="D866" s="246" t="s">
        <v>166</v>
      </c>
      <c r="E866" s="51" t="s">
        <v>558</v>
      </c>
      <c r="F866" s="260" t="s">
        <v>1125</v>
      </c>
      <c r="G866" s="260" t="s">
        <v>156</v>
      </c>
      <c r="H866" s="161" t="s">
        <v>606</v>
      </c>
      <c r="I866" s="261">
        <v>10</v>
      </c>
      <c r="J866" s="261">
        <v>1</v>
      </c>
      <c r="K866" s="162">
        <v>7</v>
      </c>
      <c r="L866" s="164">
        <v>4050671</v>
      </c>
      <c r="M866" s="163" t="s">
        <v>464</v>
      </c>
      <c r="N866" s="164" t="s">
        <v>607</v>
      </c>
      <c r="O866" s="51" t="s">
        <v>219</v>
      </c>
      <c r="P866" s="262" t="str">
        <f>IFERROR(VLOOKUP(C866,TD!$B$33:$F$37,2,0)," ")</f>
        <v>O230117</v>
      </c>
      <c r="Q866" s="262" t="str">
        <f>IFERROR(VLOOKUP(C866,TD!$B$33:$F$37,3,0)," ")</f>
        <v>4599</v>
      </c>
      <c r="R866" s="262">
        <f>IFERROR(VLOOKUP(C866,TD!$B$33:$F$37,4,0)," ")</f>
        <v>20240207</v>
      </c>
      <c r="S866" s="51" t="s">
        <v>185</v>
      </c>
      <c r="T866" s="248" t="str">
        <f>IFERROR(VLOOKUP(S866,TD!$J$34:$K$44,2,0)," ")</f>
        <v>Infraestructura física, mantenimiento y dotación (Sedes construidas, mantenidas reforzadas)</v>
      </c>
      <c r="U866" s="249" t="str">
        <f>CONCATENATE(S866,"-",T866)</f>
        <v>08-Infraestructura física, mantenimiento y dotación (Sedes construidas, mantenidas reforzadas)</v>
      </c>
      <c r="V866" s="51" t="s">
        <v>238</v>
      </c>
      <c r="W866" s="248" t="str">
        <f>IFERROR(VLOOKUP(V866,TD!$N$34:$O$46,2,0)," ")</f>
        <v>Sedes mantenidas</v>
      </c>
      <c r="X866" s="249" t="str">
        <f>CONCATENATE(V866,"_",W866)</f>
        <v>016_Sedes mantenidas</v>
      </c>
      <c r="Y866" s="249" t="str">
        <f>CONCATENATE(U866," ",X866)</f>
        <v>08-Infraestructura física, mantenimiento y dotación (Sedes construidas, mantenidas reforzadas) 016_Sedes mantenidas</v>
      </c>
      <c r="Z866" s="262" t="str">
        <f>CONCATENATE(P866,Q866,R866,S866,V866)</f>
        <v>O23011745992024020708016</v>
      </c>
      <c r="AA866" s="262" t="str">
        <f>IFERROR(VLOOKUP(Y866,TD!$K$47:$L$65,2,0)," ")</f>
        <v>PM/0131/0108/45990160207</v>
      </c>
      <c r="AB866" s="164" t="s">
        <v>138</v>
      </c>
      <c r="AC866" s="263" t="s">
        <v>205</v>
      </c>
    </row>
    <row r="867" spans="2:29" ht="56" x14ac:dyDescent="0.35">
      <c r="B867" s="166">
        <v>20250954</v>
      </c>
      <c r="C867" s="50" t="s">
        <v>208</v>
      </c>
      <c r="D867" s="246" t="s">
        <v>166</v>
      </c>
      <c r="E867" s="51" t="s">
        <v>558</v>
      </c>
      <c r="F867" s="260" t="s">
        <v>1126</v>
      </c>
      <c r="G867" s="260" t="s">
        <v>156</v>
      </c>
      <c r="H867" s="161" t="s">
        <v>606</v>
      </c>
      <c r="I867" s="261">
        <v>10</v>
      </c>
      <c r="J867" s="261">
        <v>0</v>
      </c>
      <c r="K867" s="162">
        <v>26</v>
      </c>
      <c r="L867" s="164">
        <v>2846418</v>
      </c>
      <c r="M867" s="163" t="s">
        <v>464</v>
      </c>
      <c r="N867" s="164" t="s">
        <v>607</v>
      </c>
      <c r="O867" s="51" t="s">
        <v>219</v>
      </c>
      <c r="P867" s="262" t="str">
        <f>IFERROR(VLOOKUP(C867,TD!$B$33:$F$37,2,0)," ")</f>
        <v>O230117</v>
      </c>
      <c r="Q867" s="262" t="str">
        <f>IFERROR(VLOOKUP(C867,TD!$B$33:$F$37,3,0)," ")</f>
        <v>4599</v>
      </c>
      <c r="R867" s="262">
        <f>IFERROR(VLOOKUP(C867,TD!$B$33:$F$37,4,0)," ")</f>
        <v>20240207</v>
      </c>
      <c r="S867" s="51" t="s">
        <v>185</v>
      </c>
      <c r="T867" s="248" t="str">
        <f>IFERROR(VLOOKUP(S867,TD!$J$34:$K$44,2,0)," ")</f>
        <v>Infraestructura física, mantenimiento y dotación (Sedes construidas, mantenidas reforzadas)</v>
      </c>
      <c r="U867" s="249" t="str">
        <f>CONCATENATE(S867,"-",T867)</f>
        <v>08-Infraestructura física, mantenimiento y dotación (Sedes construidas, mantenidas reforzadas)</v>
      </c>
      <c r="V867" s="51" t="s">
        <v>238</v>
      </c>
      <c r="W867" s="248" t="str">
        <f>IFERROR(VLOOKUP(V867,TD!$N$34:$O$46,2,0)," ")</f>
        <v>Sedes mantenidas</v>
      </c>
      <c r="X867" s="249" t="str">
        <f>CONCATENATE(V867,"_",W867)</f>
        <v>016_Sedes mantenidas</v>
      </c>
      <c r="Y867" s="249" t="str">
        <f>CONCATENATE(U867," ",X867)</f>
        <v>08-Infraestructura física, mantenimiento y dotación (Sedes construidas, mantenidas reforzadas) 016_Sedes mantenidas</v>
      </c>
      <c r="Z867" s="262" t="str">
        <f>CONCATENATE(P867,Q867,R867,S867,V867)</f>
        <v>O23011745992024020708016</v>
      </c>
      <c r="AA867" s="262" t="str">
        <f>IFERROR(VLOOKUP(Y867,TD!$K$47:$L$65,2,0)," ")</f>
        <v>PM/0131/0108/45990160207</v>
      </c>
      <c r="AB867" s="164" t="s">
        <v>138</v>
      </c>
      <c r="AC867" s="263" t="s">
        <v>205</v>
      </c>
    </row>
    <row r="868" spans="2:29" ht="56" x14ac:dyDescent="0.35">
      <c r="B868" s="166">
        <v>20250955</v>
      </c>
      <c r="C868" s="50" t="s">
        <v>208</v>
      </c>
      <c r="D868" s="246" t="s">
        <v>166</v>
      </c>
      <c r="E868" s="51" t="s">
        <v>558</v>
      </c>
      <c r="F868" s="260" t="s">
        <v>1127</v>
      </c>
      <c r="G868" s="260" t="s">
        <v>156</v>
      </c>
      <c r="H868" s="161" t="s">
        <v>606</v>
      </c>
      <c r="I868" s="261">
        <v>10</v>
      </c>
      <c r="J868" s="261">
        <v>0</v>
      </c>
      <c r="K868" s="162">
        <v>10</v>
      </c>
      <c r="L868" s="164">
        <v>1000000</v>
      </c>
      <c r="M868" s="163" t="s">
        <v>464</v>
      </c>
      <c r="N868" s="164" t="s">
        <v>607</v>
      </c>
      <c r="O868" s="51" t="s">
        <v>219</v>
      </c>
      <c r="P868" s="262" t="str">
        <f>IFERROR(VLOOKUP(C868,TD!$B$33:$F$37,2,0)," ")</f>
        <v>O230117</v>
      </c>
      <c r="Q868" s="262" t="str">
        <f>IFERROR(VLOOKUP(C868,TD!$B$33:$F$37,3,0)," ")</f>
        <v>4599</v>
      </c>
      <c r="R868" s="262">
        <f>IFERROR(VLOOKUP(C868,TD!$B$33:$F$37,4,0)," ")</f>
        <v>20240207</v>
      </c>
      <c r="S868" s="51" t="s">
        <v>185</v>
      </c>
      <c r="T868" s="248" t="str">
        <f>IFERROR(VLOOKUP(S868,TD!$J$34:$K$44,2,0)," ")</f>
        <v>Infraestructura física, mantenimiento y dotación (Sedes construidas, mantenidas reforzadas)</v>
      </c>
      <c r="U868" s="249" t="str">
        <f>CONCATENATE(S868,"-",T868)</f>
        <v>08-Infraestructura física, mantenimiento y dotación (Sedes construidas, mantenidas reforzadas)</v>
      </c>
      <c r="V868" s="51" t="s">
        <v>238</v>
      </c>
      <c r="W868" s="248" t="str">
        <f>IFERROR(VLOOKUP(V868,TD!$N$34:$O$46,2,0)," ")</f>
        <v>Sedes mantenidas</v>
      </c>
      <c r="X868" s="249" t="str">
        <f>CONCATENATE(V868,"_",W868)</f>
        <v>016_Sedes mantenidas</v>
      </c>
      <c r="Y868" s="249" t="str">
        <f>CONCATENATE(U868," ",X868)</f>
        <v>08-Infraestructura física, mantenimiento y dotación (Sedes construidas, mantenidas reforzadas) 016_Sedes mantenidas</v>
      </c>
      <c r="Z868" s="262" t="str">
        <f>CONCATENATE(P868,Q868,R868,S868,V868)</f>
        <v>O23011745992024020708016</v>
      </c>
      <c r="AA868" s="262" t="str">
        <f>IFERROR(VLOOKUP(Y868,TD!$K$47:$L$65,2,0)," ")</f>
        <v>PM/0131/0108/45990160207</v>
      </c>
      <c r="AB868" s="164" t="s">
        <v>138</v>
      </c>
      <c r="AC868" s="263" t="s">
        <v>205</v>
      </c>
    </row>
    <row r="869" spans="2:29" ht="56" x14ac:dyDescent="0.35">
      <c r="B869" s="132">
        <v>20250956</v>
      </c>
      <c r="C869" s="50" t="s">
        <v>208</v>
      </c>
      <c r="D869" s="246" t="s">
        <v>166</v>
      </c>
      <c r="E869" s="51" t="s">
        <v>558</v>
      </c>
      <c r="F869" s="260" t="s">
        <v>1128</v>
      </c>
      <c r="G869" s="260" t="s">
        <v>156</v>
      </c>
      <c r="H869" s="161" t="s">
        <v>606</v>
      </c>
      <c r="I869" s="261">
        <v>10</v>
      </c>
      <c r="J869" s="261">
        <v>1</v>
      </c>
      <c r="K869" s="162">
        <v>11</v>
      </c>
      <c r="L869" s="164">
        <v>4488582</v>
      </c>
      <c r="M869" s="163" t="s">
        <v>464</v>
      </c>
      <c r="N869" s="164" t="s">
        <v>607</v>
      </c>
      <c r="O869" s="51" t="s">
        <v>219</v>
      </c>
      <c r="P869" s="262" t="str">
        <f>IFERROR(VLOOKUP(C869,TD!$B$33:$F$37,2,0)," ")</f>
        <v>O230117</v>
      </c>
      <c r="Q869" s="262" t="str">
        <f>IFERROR(VLOOKUP(C869,TD!$B$33:$F$37,3,0)," ")</f>
        <v>4599</v>
      </c>
      <c r="R869" s="262">
        <f>IFERROR(VLOOKUP(C869,TD!$B$33:$F$37,4,0)," ")</f>
        <v>20240207</v>
      </c>
      <c r="S869" s="51" t="s">
        <v>185</v>
      </c>
      <c r="T869" s="248" t="str">
        <f>IFERROR(VLOOKUP(S869,TD!$J$34:$K$44,2,0)," ")</f>
        <v>Infraestructura física, mantenimiento y dotación (Sedes construidas, mantenidas reforzadas)</v>
      </c>
      <c r="U869" s="249" t="str">
        <f>CONCATENATE(S869,"-",T869)</f>
        <v>08-Infraestructura física, mantenimiento y dotación (Sedes construidas, mantenidas reforzadas)</v>
      </c>
      <c r="V869" s="51" t="s">
        <v>238</v>
      </c>
      <c r="W869" s="248" t="str">
        <f>IFERROR(VLOOKUP(V869,TD!$N$34:$O$46,2,0)," ")</f>
        <v>Sedes mantenidas</v>
      </c>
      <c r="X869" s="249" t="str">
        <f>CONCATENATE(V869,"_",W869)</f>
        <v>016_Sedes mantenidas</v>
      </c>
      <c r="Y869" s="249" t="str">
        <f>CONCATENATE(U869," ",X869)</f>
        <v>08-Infraestructura física, mantenimiento y dotación (Sedes construidas, mantenidas reforzadas) 016_Sedes mantenidas</v>
      </c>
      <c r="Z869" s="262" t="str">
        <f>CONCATENATE(P869,Q869,R869,S869,V869)</f>
        <v>O23011745992024020708016</v>
      </c>
      <c r="AA869" s="262" t="str">
        <f>IFERROR(VLOOKUP(Y869,TD!$K$47:$L$65,2,0)," ")</f>
        <v>PM/0131/0108/45990160207</v>
      </c>
      <c r="AB869" s="164" t="s">
        <v>138</v>
      </c>
      <c r="AC869" s="263" t="s">
        <v>205</v>
      </c>
    </row>
    <row r="870" spans="2:29" ht="70" x14ac:dyDescent="0.35">
      <c r="B870" s="160">
        <v>20250957</v>
      </c>
      <c r="C870" s="50" t="s">
        <v>208</v>
      </c>
      <c r="D870" s="246" t="s">
        <v>166</v>
      </c>
      <c r="E870" s="51" t="s">
        <v>558</v>
      </c>
      <c r="F870" s="260" t="s">
        <v>1129</v>
      </c>
      <c r="G870" s="260" t="s">
        <v>155</v>
      </c>
      <c r="H870" s="161" t="s">
        <v>606</v>
      </c>
      <c r="I870" s="261">
        <v>10</v>
      </c>
      <c r="J870" s="261">
        <v>3</v>
      </c>
      <c r="K870" s="162">
        <v>4</v>
      </c>
      <c r="L870" s="164">
        <v>25066667</v>
      </c>
      <c r="M870" s="163" t="s">
        <v>464</v>
      </c>
      <c r="N870" s="164" t="s">
        <v>607</v>
      </c>
      <c r="O870" s="51" t="s">
        <v>219</v>
      </c>
      <c r="P870" s="262" t="str">
        <f>IFERROR(VLOOKUP(C870,TD!$B$33:$F$37,2,0)," ")</f>
        <v>O230117</v>
      </c>
      <c r="Q870" s="262" t="str">
        <f>IFERROR(VLOOKUP(C870,TD!$B$33:$F$37,3,0)," ")</f>
        <v>4599</v>
      </c>
      <c r="R870" s="262">
        <f>IFERROR(VLOOKUP(C870,TD!$B$33:$F$37,4,0)," ")</f>
        <v>20240207</v>
      </c>
      <c r="S870" s="51" t="s">
        <v>185</v>
      </c>
      <c r="T870" s="248" t="str">
        <f>IFERROR(VLOOKUP(S870,TD!$J$34:$K$44,2,0)," ")</f>
        <v>Infraestructura física, mantenimiento y dotación (Sedes construidas, mantenidas reforzadas)</v>
      </c>
      <c r="U870" s="249" t="str">
        <f>CONCATENATE(S870,"-",T870)</f>
        <v>08-Infraestructura física, mantenimiento y dotación (Sedes construidas, mantenidas reforzadas)</v>
      </c>
      <c r="V870" s="51" t="s">
        <v>238</v>
      </c>
      <c r="W870" s="248" t="str">
        <f>IFERROR(VLOOKUP(V870,TD!$N$34:$O$46,2,0)," ")</f>
        <v>Sedes mantenidas</v>
      </c>
      <c r="X870" s="249" t="str">
        <f>CONCATENATE(V870,"_",W870)</f>
        <v>016_Sedes mantenidas</v>
      </c>
      <c r="Y870" s="249" t="str">
        <f>CONCATENATE(U870," ",X870)</f>
        <v>08-Infraestructura física, mantenimiento y dotación (Sedes construidas, mantenidas reforzadas) 016_Sedes mantenidas</v>
      </c>
      <c r="Z870" s="262" t="str">
        <f>CONCATENATE(P870,Q870,R870,S870,V870)</f>
        <v>O23011745992024020708016</v>
      </c>
      <c r="AA870" s="262" t="str">
        <f>IFERROR(VLOOKUP(Y870,TD!$K$47:$L$65,2,0)," ")</f>
        <v>PM/0131/0108/45990160207</v>
      </c>
      <c r="AB870" s="164" t="s">
        <v>138</v>
      </c>
      <c r="AC870" s="263" t="s">
        <v>205</v>
      </c>
    </row>
    <row r="871" spans="2:29" ht="56" x14ac:dyDescent="0.35">
      <c r="B871" s="166">
        <v>20250958</v>
      </c>
      <c r="C871" s="50" t="s">
        <v>208</v>
      </c>
      <c r="D871" s="246" t="s">
        <v>166</v>
      </c>
      <c r="E871" s="51" t="s">
        <v>558</v>
      </c>
      <c r="F871" s="260" t="s">
        <v>1130</v>
      </c>
      <c r="G871" s="260" t="s">
        <v>156</v>
      </c>
      <c r="H871" s="161" t="s">
        <v>606</v>
      </c>
      <c r="I871" s="261">
        <v>10</v>
      </c>
      <c r="J871" s="261">
        <v>2</v>
      </c>
      <c r="K871" s="162">
        <v>11</v>
      </c>
      <c r="L871" s="164">
        <v>10152373</v>
      </c>
      <c r="M871" s="163" t="s">
        <v>464</v>
      </c>
      <c r="N871" s="164" t="s">
        <v>607</v>
      </c>
      <c r="O871" s="51" t="s">
        <v>219</v>
      </c>
      <c r="P871" s="262" t="str">
        <f>IFERROR(VLOOKUP(C871,TD!$B$33:$F$37,2,0)," ")</f>
        <v>O230117</v>
      </c>
      <c r="Q871" s="262" t="str">
        <f>IFERROR(VLOOKUP(C871,TD!$B$33:$F$37,3,0)," ")</f>
        <v>4599</v>
      </c>
      <c r="R871" s="262">
        <f>IFERROR(VLOOKUP(C871,TD!$B$33:$F$37,4,0)," ")</f>
        <v>20240207</v>
      </c>
      <c r="S871" s="51" t="s">
        <v>185</v>
      </c>
      <c r="T871" s="248" t="str">
        <f>IFERROR(VLOOKUP(S871,TD!$J$34:$K$44,2,0)," ")</f>
        <v>Infraestructura física, mantenimiento y dotación (Sedes construidas, mantenidas reforzadas)</v>
      </c>
      <c r="U871" s="249" t="str">
        <f>CONCATENATE(S871,"-",T871)</f>
        <v>08-Infraestructura física, mantenimiento y dotación (Sedes construidas, mantenidas reforzadas)</v>
      </c>
      <c r="V871" s="51" t="s">
        <v>238</v>
      </c>
      <c r="W871" s="248" t="str">
        <f>IFERROR(VLOOKUP(V871,TD!$N$34:$O$46,2,0)," ")</f>
        <v>Sedes mantenidas</v>
      </c>
      <c r="X871" s="249" t="str">
        <f>CONCATENATE(V871,"_",W871)</f>
        <v>016_Sedes mantenidas</v>
      </c>
      <c r="Y871" s="249" t="str">
        <f>CONCATENATE(U871," ",X871)</f>
        <v>08-Infraestructura física, mantenimiento y dotación (Sedes construidas, mantenidas reforzadas) 016_Sedes mantenidas</v>
      </c>
      <c r="Z871" s="262" t="str">
        <f>CONCATENATE(P871,Q871,R871,S871,V871)</f>
        <v>O23011745992024020708016</v>
      </c>
      <c r="AA871" s="262" t="str">
        <f>IFERROR(VLOOKUP(Y871,TD!$K$47:$L$65,2,0)," ")</f>
        <v>PM/0131/0108/45990160207</v>
      </c>
      <c r="AB871" s="164" t="s">
        <v>138</v>
      </c>
      <c r="AC871" s="263" t="s">
        <v>205</v>
      </c>
    </row>
    <row r="872" spans="2:29" ht="56" x14ac:dyDescent="0.35">
      <c r="B872" s="166">
        <v>20250959</v>
      </c>
      <c r="C872" s="50" t="s">
        <v>208</v>
      </c>
      <c r="D872" s="246" t="s">
        <v>166</v>
      </c>
      <c r="E872" s="51" t="s">
        <v>558</v>
      </c>
      <c r="F872" s="260" t="s">
        <v>1131</v>
      </c>
      <c r="G872" s="260" t="s">
        <v>155</v>
      </c>
      <c r="H872" s="161" t="s">
        <v>606</v>
      </c>
      <c r="I872" s="261">
        <v>10</v>
      </c>
      <c r="J872" s="261">
        <v>2</v>
      </c>
      <c r="K872" s="162">
        <v>0</v>
      </c>
      <c r="L872" s="164">
        <v>10322174</v>
      </c>
      <c r="M872" s="163" t="s">
        <v>464</v>
      </c>
      <c r="N872" s="164" t="s">
        <v>607</v>
      </c>
      <c r="O872" s="51" t="s">
        <v>219</v>
      </c>
      <c r="P872" s="262" t="str">
        <f>IFERROR(VLOOKUP(C872,TD!$B$33:$F$37,2,0)," ")</f>
        <v>O230117</v>
      </c>
      <c r="Q872" s="262" t="str">
        <f>IFERROR(VLOOKUP(C872,TD!$B$33:$F$37,3,0)," ")</f>
        <v>4599</v>
      </c>
      <c r="R872" s="262">
        <f>IFERROR(VLOOKUP(C872,TD!$B$33:$F$37,4,0)," ")</f>
        <v>20240207</v>
      </c>
      <c r="S872" s="51" t="s">
        <v>185</v>
      </c>
      <c r="T872" s="248" t="str">
        <f>IFERROR(VLOOKUP(S872,TD!$J$34:$K$44,2,0)," ")</f>
        <v>Infraestructura física, mantenimiento y dotación (Sedes construidas, mantenidas reforzadas)</v>
      </c>
      <c r="U872" s="249" t="str">
        <f>CONCATENATE(S872,"-",T872)</f>
        <v>08-Infraestructura física, mantenimiento y dotación (Sedes construidas, mantenidas reforzadas)</v>
      </c>
      <c r="V872" s="51" t="s">
        <v>238</v>
      </c>
      <c r="W872" s="248" t="str">
        <f>IFERROR(VLOOKUP(V872,TD!$N$34:$O$46,2,0)," ")</f>
        <v>Sedes mantenidas</v>
      </c>
      <c r="X872" s="249" t="str">
        <f>CONCATENATE(V872,"_",W872)</f>
        <v>016_Sedes mantenidas</v>
      </c>
      <c r="Y872" s="249" t="str">
        <f>CONCATENATE(U872," ",X872)</f>
        <v>08-Infraestructura física, mantenimiento y dotación (Sedes construidas, mantenidas reforzadas) 016_Sedes mantenidas</v>
      </c>
      <c r="Z872" s="262" t="str">
        <f>CONCATENATE(P872,Q872,R872,S872,V872)</f>
        <v>O23011745992024020708016</v>
      </c>
      <c r="AA872" s="262" t="str">
        <f>IFERROR(VLOOKUP(Y872,TD!$K$47:$L$65,2,0)," ")</f>
        <v>PM/0131/0108/45990160207</v>
      </c>
      <c r="AB872" s="164" t="s">
        <v>138</v>
      </c>
      <c r="AC872" s="263" t="s">
        <v>205</v>
      </c>
    </row>
    <row r="873" spans="2:29" ht="56" x14ac:dyDescent="0.35">
      <c r="B873" s="166">
        <v>20250960</v>
      </c>
      <c r="C873" s="50" t="s">
        <v>208</v>
      </c>
      <c r="D873" s="246" t="s">
        <v>166</v>
      </c>
      <c r="E873" s="51" t="s">
        <v>558</v>
      </c>
      <c r="F873" s="260" t="s">
        <v>1132</v>
      </c>
      <c r="G873" s="260" t="s">
        <v>156</v>
      </c>
      <c r="H873" s="161" t="s">
        <v>606</v>
      </c>
      <c r="I873" s="261">
        <v>10</v>
      </c>
      <c r="J873" s="261">
        <v>1</v>
      </c>
      <c r="K873" s="162">
        <v>1</v>
      </c>
      <c r="L873" s="164">
        <v>3393806</v>
      </c>
      <c r="M873" s="163" t="s">
        <v>464</v>
      </c>
      <c r="N873" s="164" t="s">
        <v>607</v>
      </c>
      <c r="O873" s="51" t="s">
        <v>219</v>
      </c>
      <c r="P873" s="262" t="str">
        <f>IFERROR(VLOOKUP(C873,TD!$B$33:$F$37,2,0)," ")</f>
        <v>O230117</v>
      </c>
      <c r="Q873" s="262" t="str">
        <f>IFERROR(VLOOKUP(C873,TD!$B$33:$F$37,3,0)," ")</f>
        <v>4599</v>
      </c>
      <c r="R873" s="262">
        <f>IFERROR(VLOOKUP(C873,TD!$B$33:$F$37,4,0)," ")</f>
        <v>20240207</v>
      </c>
      <c r="S873" s="51" t="s">
        <v>185</v>
      </c>
      <c r="T873" s="248" t="str">
        <f>IFERROR(VLOOKUP(S873,TD!$J$34:$K$44,2,0)," ")</f>
        <v>Infraestructura física, mantenimiento y dotación (Sedes construidas, mantenidas reforzadas)</v>
      </c>
      <c r="U873" s="249" t="str">
        <f>CONCATENATE(S873,"-",T873)</f>
        <v>08-Infraestructura física, mantenimiento y dotación (Sedes construidas, mantenidas reforzadas)</v>
      </c>
      <c r="V873" s="51" t="s">
        <v>238</v>
      </c>
      <c r="W873" s="248" t="str">
        <f>IFERROR(VLOOKUP(V873,TD!$N$34:$O$46,2,0)," ")</f>
        <v>Sedes mantenidas</v>
      </c>
      <c r="X873" s="249" t="str">
        <f>CONCATENATE(V873,"_",W873)</f>
        <v>016_Sedes mantenidas</v>
      </c>
      <c r="Y873" s="249" t="str">
        <f>CONCATENATE(U873," ",X873)</f>
        <v>08-Infraestructura física, mantenimiento y dotación (Sedes construidas, mantenidas reforzadas) 016_Sedes mantenidas</v>
      </c>
      <c r="Z873" s="262" t="str">
        <f>CONCATENATE(P873,Q873,R873,S873,V873)</f>
        <v>O23011745992024020708016</v>
      </c>
      <c r="AA873" s="262" t="str">
        <f>IFERROR(VLOOKUP(Y873,TD!$K$47:$L$65,2,0)," ")</f>
        <v>PM/0131/0108/45990160207</v>
      </c>
      <c r="AB873" s="164" t="s">
        <v>138</v>
      </c>
      <c r="AC873" s="263" t="s">
        <v>205</v>
      </c>
    </row>
    <row r="874" spans="2:29" ht="56" x14ac:dyDescent="0.35">
      <c r="B874" s="166">
        <v>20250961</v>
      </c>
      <c r="C874" s="50" t="s">
        <v>208</v>
      </c>
      <c r="D874" s="246" t="s">
        <v>166</v>
      </c>
      <c r="E874" s="51" t="s">
        <v>558</v>
      </c>
      <c r="F874" s="260" t="s">
        <v>1133</v>
      </c>
      <c r="G874" s="260" t="s">
        <v>155</v>
      </c>
      <c r="H874" s="161" t="s">
        <v>606</v>
      </c>
      <c r="I874" s="261">
        <v>10</v>
      </c>
      <c r="J874" s="261">
        <v>1</v>
      </c>
      <c r="K874" s="162">
        <v>19</v>
      </c>
      <c r="L874" s="164">
        <v>12042536</v>
      </c>
      <c r="M874" s="163" t="s">
        <v>464</v>
      </c>
      <c r="N874" s="164" t="s">
        <v>607</v>
      </c>
      <c r="O874" s="51" t="s">
        <v>219</v>
      </c>
      <c r="P874" s="262" t="str">
        <f>IFERROR(VLOOKUP(C874,TD!$B$33:$F$37,2,0)," ")</f>
        <v>O230117</v>
      </c>
      <c r="Q874" s="262" t="str">
        <f>IFERROR(VLOOKUP(C874,TD!$B$33:$F$37,3,0)," ")</f>
        <v>4599</v>
      </c>
      <c r="R874" s="262">
        <f>IFERROR(VLOOKUP(C874,TD!$B$33:$F$37,4,0)," ")</f>
        <v>20240207</v>
      </c>
      <c r="S874" s="51" t="s">
        <v>185</v>
      </c>
      <c r="T874" s="248" t="str">
        <f>IFERROR(VLOOKUP(S874,TD!$J$34:$K$44,2,0)," ")</f>
        <v>Infraestructura física, mantenimiento y dotación (Sedes construidas, mantenidas reforzadas)</v>
      </c>
      <c r="U874" s="249" t="str">
        <f>CONCATENATE(S874,"-",T874)</f>
        <v>08-Infraestructura física, mantenimiento y dotación (Sedes construidas, mantenidas reforzadas)</v>
      </c>
      <c r="V874" s="51" t="s">
        <v>238</v>
      </c>
      <c r="W874" s="248" t="str">
        <f>IFERROR(VLOOKUP(V874,TD!$N$34:$O$46,2,0)," ")</f>
        <v>Sedes mantenidas</v>
      </c>
      <c r="X874" s="249" t="str">
        <f>CONCATENATE(V874,"_",W874)</f>
        <v>016_Sedes mantenidas</v>
      </c>
      <c r="Y874" s="249" t="str">
        <f>CONCATENATE(U874," ",X874)</f>
        <v>08-Infraestructura física, mantenimiento y dotación (Sedes construidas, mantenidas reforzadas) 016_Sedes mantenidas</v>
      </c>
      <c r="Z874" s="262" t="str">
        <f>CONCATENATE(P874,Q874,R874,S874,V874)</f>
        <v>O23011745992024020708016</v>
      </c>
      <c r="AA874" s="262" t="str">
        <f>IFERROR(VLOOKUP(Y874,TD!$K$47:$L$65,2,0)," ")</f>
        <v>PM/0131/0108/45990160207</v>
      </c>
      <c r="AB874" s="164" t="s">
        <v>138</v>
      </c>
      <c r="AC874" s="263" t="s">
        <v>205</v>
      </c>
    </row>
    <row r="875" spans="2:29" ht="56" x14ac:dyDescent="0.35">
      <c r="B875" s="132">
        <v>20250962</v>
      </c>
      <c r="C875" s="50" t="s">
        <v>208</v>
      </c>
      <c r="D875" s="246" t="s">
        <v>166</v>
      </c>
      <c r="E875" s="51" t="s">
        <v>558</v>
      </c>
      <c r="F875" s="260" t="s">
        <v>1134</v>
      </c>
      <c r="G875" s="260" t="s">
        <v>155</v>
      </c>
      <c r="H875" s="161" t="s">
        <v>606</v>
      </c>
      <c r="I875" s="261">
        <v>10</v>
      </c>
      <c r="J875" s="261">
        <v>1</v>
      </c>
      <c r="K875" s="162">
        <v>5</v>
      </c>
      <c r="L875" s="164">
        <f>7976225-42892</f>
        <v>7933333</v>
      </c>
      <c r="M875" s="163" t="s">
        <v>464</v>
      </c>
      <c r="N875" s="164" t="s">
        <v>607</v>
      </c>
      <c r="O875" s="51" t="s">
        <v>219</v>
      </c>
      <c r="P875" s="262" t="str">
        <f>IFERROR(VLOOKUP(C875,TD!$B$33:$F$37,2,0)," ")</f>
        <v>O230117</v>
      </c>
      <c r="Q875" s="262" t="str">
        <f>IFERROR(VLOOKUP(C875,TD!$B$33:$F$37,3,0)," ")</f>
        <v>4599</v>
      </c>
      <c r="R875" s="262">
        <f>IFERROR(VLOOKUP(C875,TD!$B$33:$F$37,4,0)," ")</f>
        <v>20240207</v>
      </c>
      <c r="S875" s="51" t="s">
        <v>185</v>
      </c>
      <c r="T875" s="248" t="str">
        <f>IFERROR(VLOOKUP(S875,TD!$J$34:$K$44,2,0)," ")</f>
        <v>Infraestructura física, mantenimiento y dotación (Sedes construidas, mantenidas reforzadas)</v>
      </c>
      <c r="U875" s="249" t="str">
        <f>CONCATENATE(S875,"-",T875)</f>
        <v>08-Infraestructura física, mantenimiento y dotación (Sedes construidas, mantenidas reforzadas)</v>
      </c>
      <c r="V875" s="51" t="s">
        <v>238</v>
      </c>
      <c r="W875" s="248" t="str">
        <f>IFERROR(VLOOKUP(V875,TD!$N$34:$O$46,2,0)," ")</f>
        <v>Sedes mantenidas</v>
      </c>
      <c r="X875" s="249" t="str">
        <f>CONCATENATE(V875,"_",W875)</f>
        <v>016_Sedes mantenidas</v>
      </c>
      <c r="Y875" s="249" t="str">
        <f>CONCATENATE(U875," ",X875)</f>
        <v>08-Infraestructura física, mantenimiento y dotación (Sedes construidas, mantenidas reforzadas) 016_Sedes mantenidas</v>
      </c>
      <c r="Z875" s="262" t="str">
        <f>CONCATENATE(P875,Q875,R875,S875,V875)</f>
        <v>O23011745992024020708016</v>
      </c>
      <c r="AA875" s="262" t="str">
        <f>IFERROR(VLOOKUP(Y875,TD!$K$47:$L$65,2,0)," ")</f>
        <v>PM/0131/0108/45990160207</v>
      </c>
      <c r="AB875" s="164" t="s">
        <v>120</v>
      </c>
      <c r="AC875" s="263" t="s">
        <v>205</v>
      </c>
    </row>
    <row r="876" spans="2:29" ht="70" x14ac:dyDescent="0.35">
      <c r="B876" s="160">
        <v>20250963</v>
      </c>
      <c r="C876" s="50" t="s">
        <v>208</v>
      </c>
      <c r="D876" s="246" t="s">
        <v>166</v>
      </c>
      <c r="E876" s="51" t="s">
        <v>558</v>
      </c>
      <c r="F876" s="260" t="s">
        <v>1135</v>
      </c>
      <c r="G876" s="260" t="s">
        <v>156</v>
      </c>
      <c r="H876" s="161" t="s">
        <v>606</v>
      </c>
      <c r="I876" s="261">
        <v>10</v>
      </c>
      <c r="J876" s="261">
        <v>0</v>
      </c>
      <c r="K876" s="162">
        <v>25</v>
      </c>
      <c r="L876" s="164">
        <v>2345949</v>
      </c>
      <c r="M876" s="163" t="s">
        <v>464</v>
      </c>
      <c r="N876" s="164" t="s">
        <v>607</v>
      </c>
      <c r="O876" s="51" t="s">
        <v>219</v>
      </c>
      <c r="P876" s="262" t="str">
        <f>IFERROR(VLOOKUP(C876,TD!$B$33:$F$37,2,0)," ")</f>
        <v>O230117</v>
      </c>
      <c r="Q876" s="262" t="str">
        <f>IFERROR(VLOOKUP(C876,TD!$B$33:$F$37,3,0)," ")</f>
        <v>4599</v>
      </c>
      <c r="R876" s="262">
        <f>IFERROR(VLOOKUP(C876,TD!$B$33:$F$37,4,0)," ")</f>
        <v>20240207</v>
      </c>
      <c r="S876" s="51" t="s">
        <v>185</v>
      </c>
      <c r="T876" s="248" t="str">
        <f>IFERROR(VLOOKUP(S876,TD!$J$34:$K$44,2,0)," ")</f>
        <v>Infraestructura física, mantenimiento y dotación (Sedes construidas, mantenidas reforzadas)</v>
      </c>
      <c r="U876" s="249" t="str">
        <f>CONCATENATE(S876,"-",T876)</f>
        <v>08-Infraestructura física, mantenimiento y dotación (Sedes construidas, mantenidas reforzadas)</v>
      </c>
      <c r="V876" s="51" t="s">
        <v>238</v>
      </c>
      <c r="W876" s="248" t="str">
        <f>IFERROR(VLOOKUP(V876,TD!$N$34:$O$46,2,0)," ")</f>
        <v>Sedes mantenidas</v>
      </c>
      <c r="X876" s="249" t="str">
        <f>CONCATENATE(V876,"_",W876)</f>
        <v>016_Sedes mantenidas</v>
      </c>
      <c r="Y876" s="249" t="str">
        <f>CONCATENATE(U876," ",X876)</f>
        <v>08-Infraestructura física, mantenimiento y dotación (Sedes construidas, mantenidas reforzadas) 016_Sedes mantenidas</v>
      </c>
      <c r="Z876" s="262" t="str">
        <f>CONCATENATE(P876,Q876,R876,S876,V876)</f>
        <v>O23011745992024020708016</v>
      </c>
      <c r="AA876" s="262" t="str">
        <f>IFERROR(VLOOKUP(Y876,TD!$K$47:$L$65,2,0)," ")</f>
        <v>PM/0131/0108/45990160207</v>
      </c>
      <c r="AB876" s="164" t="s">
        <v>138</v>
      </c>
      <c r="AC876" s="263" t="s">
        <v>205</v>
      </c>
    </row>
    <row r="877" spans="2:29" ht="56" x14ac:dyDescent="0.35">
      <c r="B877" s="166">
        <v>20250964</v>
      </c>
      <c r="C877" s="50" t="s">
        <v>208</v>
      </c>
      <c r="D877" s="246" t="s">
        <v>166</v>
      </c>
      <c r="E877" s="51" t="s">
        <v>558</v>
      </c>
      <c r="F877" s="260" t="s">
        <v>1136</v>
      </c>
      <c r="G877" s="260" t="s">
        <v>156</v>
      </c>
      <c r="H877" s="161" t="s">
        <v>606</v>
      </c>
      <c r="I877" s="261">
        <v>10</v>
      </c>
      <c r="J877" s="261">
        <v>1</v>
      </c>
      <c r="K877" s="162">
        <v>0</v>
      </c>
      <c r="L877" s="164">
        <v>2815139</v>
      </c>
      <c r="M877" s="163" t="s">
        <v>464</v>
      </c>
      <c r="N877" s="164" t="s">
        <v>607</v>
      </c>
      <c r="O877" s="51" t="s">
        <v>219</v>
      </c>
      <c r="P877" s="262" t="str">
        <f>IFERROR(VLOOKUP(C877,TD!$B$33:$F$37,2,0)," ")</f>
        <v>O230117</v>
      </c>
      <c r="Q877" s="262" t="str">
        <f>IFERROR(VLOOKUP(C877,TD!$B$33:$F$37,3,0)," ")</f>
        <v>4599</v>
      </c>
      <c r="R877" s="262">
        <f>IFERROR(VLOOKUP(C877,TD!$B$33:$F$37,4,0)," ")</f>
        <v>20240207</v>
      </c>
      <c r="S877" s="51" t="s">
        <v>185</v>
      </c>
      <c r="T877" s="248" t="str">
        <f>IFERROR(VLOOKUP(S877,TD!$J$34:$K$44,2,0)," ")</f>
        <v>Infraestructura física, mantenimiento y dotación (Sedes construidas, mantenidas reforzadas)</v>
      </c>
      <c r="U877" s="249" t="str">
        <f>CONCATENATE(S877,"-",T877)</f>
        <v>08-Infraestructura física, mantenimiento y dotación (Sedes construidas, mantenidas reforzadas)</v>
      </c>
      <c r="V877" s="51" t="s">
        <v>238</v>
      </c>
      <c r="W877" s="248" t="str">
        <f>IFERROR(VLOOKUP(V877,TD!$N$34:$O$46,2,0)," ")</f>
        <v>Sedes mantenidas</v>
      </c>
      <c r="X877" s="249" t="str">
        <f>CONCATENATE(V877,"_",W877)</f>
        <v>016_Sedes mantenidas</v>
      </c>
      <c r="Y877" s="249" t="str">
        <f>CONCATENATE(U877," ",X877)</f>
        <v>08-Infraestructura física, mantenimiento y dotación (Sedes construidas, mantenidas reforzadas) 016_Sedes mantenidas</v>
      </c>
      <c r="Z877" s="262" t="str">
        <f>CONCATENATE(P877,Q877,R877,S877,V877)</f>
        <v>O23011745992024020708016</v>
      </c>
      <c r="AA877" s="262" t="str">
        <f>IFERROR(VLOOKUP(Y877,TD!$K$47:$L$65,2,0)," ")</f>
        <v>PM/0131/0108/45990160207</v>
      </c>
      <c r="AB877" s="164" t="s">
        <v>138</v>
      </c>
      <c r="AC877" s="263" t="s">
        <v>205</v>
      </c>
    </row>
    <row r="878" spans="2:29" ht="56" x14ac:dyDescent="0.35">
      <c r="B878" s="166">
        <v>20250965</v>
      </c>
      <c r="C878" s="50" t="s">
        <v>208</v>
      </c>
      <c r="D878" s="246" t="s">
        <v>166</v>
      </c>
      <c r="E878" s="51" t="s">
        <v>558</v>
      </c>
      <c r="F878" s="260" t="s">
        <v>1137</v>
      </c>
      <c r="G878" s="260" t="s">
        <v>156</v>
      </c>
      <c r="H878" s="161" t="s">
        <v>606</v>
      </c>
      <c r="I878" s="261">
        <v>10</v>
      </c>
      <c r="J878" s="261">
        <v>0</v>
      </c>
      <c r="K878" s="162">
        <v>18</v>
      </c>
      <c r="L878" s="164">
        <v>1689083</v>
      </c>
      <c r="M878" s="163" t="s">
        <v>464</v>
      </c>
      <c r="N878" s="164" t="s">
        <v>607</v>
      </c>
      <c r="O878" s="51" t="s">
        <v>219</v>
      </c>
      <c r="P878" s="262" t="str">
        <f>IFERROR(VLOOKUP(C878,TD!$B$33:$F$37,2,0)," ")</f>
        <v>O230117</v>
      </c>
      <c r="Q878" s="262" t="str">
        <f>IFERROR(VLOOKUP(C878,TD!$B$33:$F$37,3,0)," ")</f>
        <v>4599</v>
      </c>
      <c r="R878" s="262">
        <f>IFERROR(VLOOKUP(C878,TD!$B$33:$F$37,4,0)," ")</f>
        <v>20240207</v>
      </c>
      <c r="S878" s="51" t="s">
        <v>185</v>
      </c>
      <c r="T878" s="248" t="str">
        <f>IFERROR(VLOOKUP(S878,TD!$J$34:$K$44,2,0)," ")</f>
        <v>Infraestructura física, mantenimiento y dotación (Sedes construidas, mantenidas reforzadas)</v>
      </c>
      <c r="U878" s="249" t="str">
        <f>CONCATENATE(S878,"-",T878)</f>
        <v>08-Infraestructura física, mantenimiento y dotación (Sedes construidas, mantenidas reforzadas)</v>
      </c>
      <c r="V878" s="51" t="s">
        <v>238</v>
      </c>
      <c r="W878" s="248" t="str">
        <f>IFERROR(VLOOKUP(V878,TD!$N$34:$O$46,2,0)," ")</f>
        <v>Sedes mantenidas</v>
      </c>
      <c r="X878" s="249" t="str">
        <f>CONCATENATE(V878,"_",W878)</f>
        <v>016_Sedes mantenidas</v>
      </c>
      <c r="Y878" s="249" t="str">
        <f>CONCATENATE(U878," ",X878)</f>
        <v>08-Infraestructura física, mantenimiento y dotación (Sedes construidas, mantenidas reforzadas) 016_Sedes mantenidas</v>
      </c>
      <c r="Z878" s="262" t="str">
        <f>CONCATENATE(P878,Q878,R878,S878,V878)</f>
        <v>O23011745992024020708016</v>
      </c>
      <c r="AA878" s="262" t="str">
        <f>IFERROR(VLOOKUP(Y878,TD!$K$47:$L$65,2,0)," ")</f>
        <v>PM/0131/0108/45990160207</v>
      </c>
      <c r="AB878" s="164" t="s">
        <v>138</v>
      </c>
      <c r="AC878" s="263" t="s">
        <v>205</v>
      </c>
    </row>
    <row r="879" spans="2:29" ht="56" x14ac:dyDescent="0.35">
      <c r="B879" s="166">
        <v>20250966</v>
      </c>
      <c r="C879" s="50" t="s">
        <v>208</v>
      </c>
      <c r="D879" s="246" t="s">
        <v>166</v>
      </c>
      <c r="E879" s="51" t="s">
        <v>558</v>
      </c>
      <c r="F879" s="260" t="s">
        <v>1138</v>
      </c>
      <c r="G879" s="260" t="s">
        <v>156</v>
      </c>
      <c r="H879" s="161" t="s">
        <v>606</v>
      </c>
      <c r="I879" s="261">
        <v>10</v>
      </c>
      <c r="J879" s="261">
        <v>1</v>
      </c>
      <c r="K879" s="162">
        <v>27</v>
      </c>
      <c r="L879" s="164">
        <v>5348764</v>
      </c>
      <c r="M879" s="163" t="s">
        <v>464</v>
      </c>
      <c r="N879" s="164" t="s">
        <v>607</v>
      </c>
      <c r="O879" s="51" t="s">
        <v>219</v>
      </c>
      <c r="P879" s="262" t="str">
        <f>IFERROR(VLOOKUP(C879,TD!$B$33:$F$37,2,0)," ")</f>
        <v>O230117</v>
      </c>
      <c r="Q879" s="262" t="str">
        <f>IFERROR(VLOOKUP(C879,TD!$B$33:$F$37,3,0)," ")</f>
        <v>4599</v>
      </c>
      <c r="R879" s="262">
        <f>IFERROR(VLOOKUP(C879,TD!$B$33:$F$37,4,0)," ")</f>
        <v>20240207</v>
      </c>
      <c r="S879" s="51" t="s">
        <v>185</v>
      </c>
      <c r="T879" s="248" t="str">
        <f>IFERROR(VLOOKUP(S879,TD!$J$34:$K$44,2,0)," ")</f>
        <v>Infraestructura física, mantenimiento y dotación (Sedes construidas, mantenidas reforzadas)</v>
      </c>
      <c r="U879" s="249" t="str">
        <f>CONCATENATE(S879,"-",T879)</f>
        <v>08-Infraestructura física, mantenimiento y dotación (Sedes construidas, mantenidas reforzadas)</v>
      </c>
      <c r="V879" s="51" t="s">
        <v>238</v>
      </c>
      <c r="W879" s="248" t="str">
        <f>IFERROR(VLOOKUP(V879,TD!$N$34:$O$46,2,0)," ")</f>
        <v>Sedes mantenidas</v>
      </c>
      <c r="X879" s="249" t="str">
        <f>CONCATENATE(V879,"_",W879)</f>
        <v>016_Sedes mantenidas</v>
      </c>
      <c r="Y879" s="249" t="str">
        <f>CONCATENATE(U879," ",X879)</f>
        <v>08-Infraestructura física, mantenimiento y dotación (Sedes construidas, mantenidas reforzadas) 016_Sedes mantenidas</v>
      </c>
      <c r="Z879" s="262" t="str">
        <f>CONCATENATE(P879,Q879,R879,S879,V879)</f>
        <v>O23011745992024020708016</v>
      </c>
      <c r="AA879" s="262" t="str">
        <f>IFERROR(VLOOKUP(Y879,TD!$K$47:$L$65,2,0)," ")</f>
        <v>PM/0131/0108/45990160207</v>
      </c>
      <c r="AB879" s="164" t="s">
        <v>138</v>
      </c>
      <c r="AC879" s="263" t="s">
        <v>205</v>
      </c>
    </row>
    <row r="880" spans="2:29" ht="56" x14ac:dyDescent="0.35">
      <c r="B880" s="166">
        <v>20250967</v>
      </c>
      <c r="C880" s="50" t="s">
        <v>208</v>
      </c>
      <c r="D880" s="246" t="s">
        <v>166</v>
      </c>
      <c r="E880" s="51" t="s">
        <v>558</v>
      </c>
      <c r="F880" s="260" t="s">
        <v>1139</v>
      </c>
      <c r="G880" s="260" t="s">
        <v>155</v>
      </c>
      <c r="H880" s="161" t="s">
        <v>606</v>
      </c>
      <c r="I880" s="261">
        <v>10</v>
      </c>
      <c r="J880" s="261">
        <v>2</v>
      </c>
      <c r="K880" s="162">
        <v>2</v>
      </c>
      <c r="L880" s="164">
        <v>16533333</v>
      </c>
      <c r="M880" s="163" t="s">
        <v>464</v>
      </c>
      <c r="N880" s="164" t="s">
        <v>607</v>
      </c>
      <c r="O880" s="51" t="s">
        <v>219</v>
      </c>
      <c r="P880" s="262" t="str">
        <f>IFERROR(VLOOKUP(C880,TD!$B$33:$F$37,2,0)," ")</f>
        <v>O230117</v>
      </c>
      <c r="Q880" s="262" t="str">
        <f>IFERROR(VLOOKUP(C880,TD!$B$33:$F$37,3,0)," ")</f>
        <v>4599</v>
      </c>
      <c r="R880" s="262">
        <f>IFERROR(VLOOKUP(C880,TD!$B$33:$F$37,4,0)," ")</f>
        <v>20240207</v>
      </c>
      <c r="S880" s="51" t="s">
        <v>185</v>
      </c>
      <c r="T880" s="248" t="str">
        <f>IFERROR(VLOOKUP(S880,TD!$J$34:$K$44,2,0)," ")</f>
        <v>Infraestructura física, mantenimiento y dotación (Sedes construidas, mantenidas reforzadas)</v>
      </c>
      <c r="U880" s="249" t="str">
        <f>CONCATENATE(S880,"-",T880)</f>
        <v>08-Infraestructura física, mantenimiento y dotación (Sedes construidas, mantenidas reforzadas)</v>
      </c>
      <c r="V880" s="51" t="s">
        <v>238</v>
      </c>
      <c r="W880" s="248" t="str">
        <f>IFERROR(VLOOKUP(V880,TD!$N$34:$O$46,2,0)," ")</f>
        <v>Sedes mantenidas</v>
      </c>
      <c r="X880" s="249" t="str">
        <f>CONCATENATE(V880,"_",W880)</f>
        <v>016_Sedes mantenidas</v>
      </c>
      <c r="Y880" s="249" t="str">
        <f>CONCATENATE(U880," ",X880)</f>
        <v>08-Infraestructura física, mantenimiento y dotación (Sedes construidas, mantenidas reforzadas) 016_Sedes mantenidas</v>
      </c>
      <c r="Z880" s="262" t="str">
        <f>CONCATENATE(P880,Q880,R880,S880,V880)</f>
        <v>O23011745992024020708016</v>
      </c>
      <c r="AA880" s="262" t="str">
        <f>IFERROR(VLOOKUP(Y880,TD!$K$47:$L$65,2,0)," ")</f>
        <v>PM/0131/0108/45990160207</v>
      </c>
      <c r="AB880" s="164" t="s">
        <v>138</v>
      </c>
      <c r="AC880" s="263" t="s">
        <v>205</v>
      </c>
    </row>
    <row r="881" spans="2:29" ht="56" x14ac:dyDescent="0.35">
      <c r="B881" s="132">
        <v>20250968</v>
      </c>
      <c r="C881" s="50" t="s">
        <v>208</v>
      </c>
      <c r="D881" s="246" t="s">
        <v>166</v>
      </c>
      <c r="E881" s="51" t="s">
        <v>558</v>
      </c>
      <c r="F881" s="260" t="s">
        <v>1140</v>
      </c>
      <c r="G881" s="260" t="s">
        <v>155</v>
      </c>
      <c r="H881" s="161" t="s">
        <v>606</v>
      </c>
      <c r="I881" s="261">
        <v>10</v>
      </c>
      <c r="J881" s="261">
        <v>2</v>
      </c>
      <c r="K881" s="162">
        <v>11</v>
      </c>
      <c r="L881" s="164">
        <v>17726333</v>
      </c>
      <c r="M881" s="163" t="s">
        <v>464</v>
      </c>
      <c r="N881" s="164" t="s">
        <v>607</v>
      </c>
      <c r="O881" s="51" t="s">
        <v>219</v>
      </c>
      <c r="P881" s="262" t="str">
        <f>IFERROR(VLOOKUP(C881,TD!$B$33:$F$37,2,0)," ")</f>
        <v>O230117</v>
      </c>
      <c r="Q881" s="262" t="str">
        <f>IFERROR(VLOOKUP(C881,TD!$B$33:$F$37,3,0)," ")</f>
        <v>4599</v>
      </c>
      <c r="R881" s="262">
        <f>IFERROR(VLOOKUP(C881,TD!$B$33:$F$37,4,0)," ")</f>
        <v>20240207</v>
      </c>
      <c r="S881" s="51" t="s">
        <v>185</v>
      </c>
      <c r="T881" s="248" t="str">
        <f>IFERROR(VLOOKUP(S881,TD!$J$34:$K$44,2,0)," ")</f>
        <v>Infraestructura física, mantenimiento y dotación (Sedes construidas, mantenidas reforzadas)</v>
      </c>
      <c r="U881" s="249" t="str">
        <f>CONCATENATE(S881,"-",T881)</f>
        <v>08-Infraestructura física, mantenimiento y dotación (Sedes construidas, mantenidas reforzadas)</v>
      </c>
      <c r="V881" s="51" t="s">
        <v>238</v>
      </c>
      <c r="W881" s="248" t="str">
        <f>IFERROR(VLOOKUP(V881,TD!$N$34:$O$46,2,0)," ")</f>
        <v>Sedes mantenidas</v>
      </c>
      <c r="X881" s="249" t="str">
        <f>CONCATENATE(V881,"_",W881)</f>
        <v>016_Sedes mantenidas</v>
      </c>
      <c r="Y881" s="249" t="str">
        <f>CONCATENATE(U881," ",X881)</f>
        <v>08-Infraestructura física, mantenimiento y dotación (Sedes construidas, mantenidas reforzadas) 016_Sedes mantenidas</v>
      </c>
      <c r="Z881" s="262" t="str">
        <f>CONCATENATE(P881,Q881,R881,S881,V881)</f>
        <v>O23011745992024020708016</v>
      </c>
      <c r="AA881" s="262" t="str">
        <f>IFERROR(VLOOKUP(Y881,TD!$K$47:$L$65,2,0)," ")</f>
        <v>PM/0131/0108/45990160207</v>
      </c>
      <c r="AB881" s="164" t="s">
        <v>138</v>
      </c>
      <c r="AC881" s="263" t="s">
        <v>205</v>
      </c>
    </row>
    <row r="882" spans="2:29" ht="84" x14ac:dyDescent="0.35">
      <c r="B882" s="160">
        <v>20250969</v>
      </c>
      <c r="C882" s="50" t="s">
        <v>208</v>
      </c>
      <c r="D882" s="246" t="s">
        <v>166</v>
      </c>
      <c r="E882" s="51" t="s">
        <v>558</v>
      </c>
      <c r="F882" s="260" t="s">
        <v>1141</v>
      </c>
      <c r="G882" s="260" t="s">
        <v>155</v>
      </c>
      <c r="H882" s="161" t="s">
        <v>606</v>
      </c>
      <c r="I882" s="261">
        <v>10</v>
      </c>
      <c r="J882" s="261">
        <v>1</v>
      </c>
      <c r="K882" s="162">
        <v>9</v>
      </c>
      <c r="L882" s="164">
        <v>8887793</v>
      </c>
      <c r="M882" s="163" t="s">
        <v>464</v>
      </c>
      <c r="N882" s="164" t="s">
        <v>607</v>
      </c>
      <c r="O882" s="51" t="s">
        <v>219</v>
      </c>
      <c r="P882" s="262" t="str">
        <f>IFERROR(VLOOKUP(C882,TD!$B$33:$F$37,2,0)," ")</f>
        <v>O230117</v>
      </c>
      <c r="Q882" s="262" t="str">
        <f>IFERROR(VLOOKUP(C882,TD!$B$33:$F$37,3,0)," ")</f>
        <v>4599</v>
      </c>
      <c r="R882" s="262">
        <f>IFERROR(VLOOKUP(C882,TD!$B$33:$F$37,4,0)," ")</f>
        <v>20240207</v>
      </c>
      <c r="S882" s="51" t="s">
        <v>185</v>
      </c>
      <c r="T882" s="248" t="str">
        <f>IFERROR(VLOOKUP(S882,TD!$J$34:$K$44,2,0)," ")</f>
        <v>Infraestructura física, mantenimiento y dotación (Sedes construidas, mantenidas reforzadas)</v>
      </c>
      <c r="U882" s="249" t="str">
        <f>CONCATENATE(S882,"-",T882)</f>
        <v>08-Infraestructura física, mantenimiento y dotación (Sedes construidas, mantenidas reforzadas)</v>
      </c>
      <c r="V882" s="51" t="s">
        <v>238</v>
      </c>
      <c r="W882" s="248" t="str">
        <f>IFERROR(VLOOKUP(V882,TD!$N$34:$O$46,2,0)," ")</f>
        <v>Sedes mantenidas</v>
      </c>
      <c r="X882" s="249" t="str">
        <f>CONCATENATE(V882,"_",W882)</f>
        <v>016_Sedes mantenidas</v>
      </c>
      <c r="Y882" s="249" t="str">
        <f>CONCATENATE(U882," ",X882)</f>
        <v>08-Infraestructura física, mantenimiento y dotación (Sedes construidas, mantenidas reforzadas) 016_Sedes mantenidas</v>
      </c>
      <c r="Z882" s="262" t="str">
        <f>CONCATENATE(P882,Q882,R882,S882,V882)</f>
        <v>O23011745992024020708016</v>
      </c>
      <c r="AA882" s="262" t="str">
        <f>IFERROR(VLOOKUP(Y882,TD!$K$47:$L$65,2,0)," ")</f>
        <v>PM/0131/0108/45990160207</v>
      </c>
      <c r="AB882" s="164" t="s">
        <v>138</v>
      </c>
      <c r="AC882" s="263" t="s">
        <v>205</v>
      </c>
    </row>
    <row r="883" spans="2:29" ht="112" x14ac:dyDescent="0.35">
      <c r="B883" s="166">
        <v>20250970</v>
      </c>
      <c r="C883" s="50" t="s">
        <v>208</v>
      </c>
      <c r="D883" s="246" t="s">
        <v>166</v>
      </c>
      <c r="E883" s="51" t="s">
        <v>558</v>
      </c>
      <c r="F883" s="260" t="s">
        <v>1142</v>
      </c>
      <c r="G883" s="260" t="s">
        <v>156</v>
      </c>
      <c r="H883" s="161" t="s">
        <v>606</v>
      </c>
      <c r="I883" s="261">
        <v>10</v>
      </c>
      <c r="J883" s="261">
        <v>1</v>
      </c>
      <c r="K883" s="162">
        <v>7</v>
      </c>
      <c r="L883" s="164">
        <v>3472005</v>
      </c>
      <c r="M883" s="163" t="s">
        <v>464</v>
      </c>
      <c r="N883" s="164" t="s">
        <v>607</v>
      </c>
      <c r="O883" s="51" t="s">
        <v>219</v>
      </c>
      <c r="P883" s="262" t="str">
        <f>IFERROR(VLOOKUP(C883,TD!$B$33:$F$37,2,0)," ")</f>
        <v>O230117</v>
      </c>
      <c r="Q883" s="262" t="str">
        <f>IFERROR(VLOOKUP(C883,TD!$B$33:$F$37,3,0)," ")</f>
        <v>4599</v>
      </c>
      <c r="R883" s="262">
        <f>IFERROR(VLOOKUP(C883,TD!$B$33:$F$37,4,0)," ")</f>
        <v>20240207</v>
      </c>
      <c r="S883" s="51" t="s">
        <v>185</v>
      </c>
      <c r="T883" s="248" t="str">
        <f>IFERROR(VLOOKUP(S883,TD!$J$34:$K$44,2,0)," ")</f>
        <v>Infraestructura física, mantenimiento y dotación (Sedes construidas, mantenidas reforzadas)</v>
      </c>
      <c r="U883" s="249" t="str">
        <f>CONCATENATE(S883,"-",T883)</f>
        <v>08-Infraestructura física, mantenimiento y dotación (Sedes construidas, mantenidas reforzadas)</v>
      </c>
      <c r="V883" s="51" t="s">
        <v>238</v>
      </c>
      <c r="W883" s="248" t="str">
        <f>IFERROR(VLOOKUP(V883,TD!$N$34:$O$46,2,0)," ")</f>
        <v>Sedes mantenidas</v>
      </c>
      <c r="X883" s="249" t="str">
        <f>CONCATENATE(V883,"_",W883)</f>
        <v>016_Sedes mantenidas</v>
      </c>
      <c r="Y883" s="249" t="str">
        <f>CONCATENATE(U883," ",X883)</f>
        <v>08-Infraestructura física, mantenimiento y dotación (Sedes construidas, mantenidas reforzadas) 016_Sedes mantenidas</v>
      </c>
      <c r="Z883" s="262" t="str">
        <f>CONCATENATE(P883,Q883,R883,S883,V883)</f>
        <v>O23011745992024020708016</v>
      </c>
      <c r="AA883" s="262" t="str">
        <f>IFERROR(VLOOKUP(Y883,TD!$K$47:$L$65,2,0)," ")</f>
        <v>PM/0131/0108/45990160207</v>
      </c>
      <c r="AB883" s="164" t="s">
        <v>138</v>
      </c>
      <c r="AC883" s="263" t="s">
        <v>205</v>
      </c>
    </row>
    <row r="884" spans="2:29" ht="112" x14ac:dyDescent="0.35">
      <c r="B884" s="166">
        <v>20250971</v>
      </c>
      <c r="C884" s="50" t="s">
        <v>208</v>
      </c>
      <c r="D884" s="246" t="s">
        <v>166</v>
      </c>
      <c r="E884" s="51" t="s">
        <v>558</v>
      </c>
      <c r="F884" s="260" t="s">
        <v>1143</v>
      </c>
      <c r="G884" s="260" t="s">
        <v>156</v>
      </c>
      <c r="H884" s="161" t="s">
        <v>606</v>
      </c>
      <c r="I884" s="261">
        <v>10</v>
      </c>
      <c r="J884" s="261">
        <v>1</v>
      </c>
      <c r="K884" s="162">
        <v>11</v>
      </c>
      <c r="L884" s="164">
        <v>5038204</v>
      </c>
      <c r="M884" s="163" t="s">
        <v>464</v>
      </c>
      <c r="N884" s="164" t="s">
        <v>607</v>
      </c>
      <c r="O884" s="51" t="s">
        <v>219</v>
      </c>
      <c r="P884" s="262" t="str">
        <f>IFERROR(VLOOKUP(C884,TD!$B$33:$F$37,2,0)," ")</f>
        <v>O230117</v>
      </c>
      <c r="Q884" s="262" t="str">
        <f>IFERROR(VLOOKUP(C884,TD!$B$33:$F$37,3,0)," ")</f>
        <v>4599</v>
      </c>
      <c r="R884" s="262">
        <f>IFERROR(VLOOKUP(C884,TD!$B$33:$F$37,4,0)," ")</f>
        <v>20240207</v>
      </c>
      <c r="S884" s="51" t="s">
        <v>185</v>
      </c>
      <c r="T884" s="248" t="str">
        <f>IFERROR(VLOOKUP(S884,TD!$J$34:$K$44,2,0)," ")</f>
        <v>Infraestructura física, mantenimiento y dotación (Sedes construidas, mantenidas reforzadas)</v>
      </c>
      <c r="U884" s="249" t="str">
        <f>CONCATENATE(S884,"-",T884)</f>
        <v>08-Infraestructura física, mantenimiento y dotación (Sedes construidas, mantenidas reforzadas)</v>
      </c>
      <c r="V884" s="51" t="s">
        <v>238</v>
      </c>
      <c r="W884" s="248" t="str">
        <f>IFERROR(VLOOKUP(V884,TD!$N$34:$O$46,2,0)," ")</f>
        <v>Sedes mantenidas</v>
      </c>
      <c r="X884" s="249" t="str">
        <f>CONCATENATE(V884,"_",W884)</f>
        <v>016_Sedes mantenidas</v>
      </c>
      <c r="Y884" s="249" t="str">
        <f>CONCATENATE(U884," ",X884)</f>
        <v>08-Infraestructura física, mantenimiento y dotación (Sedes construidas, mantenidas reforzadas) 016_Sedes mantenidas</v>
      </c>
      <c r="Z884" s="262" t="str">
        <f>CONCATENATE(P884,Q884,R884,S884,V884)</f>
        <v>O23011745992024020708016</v>
      </c>
      <c r="AA884" s="262" t="str">
        <f>IFERROR(VLOOKUP(Y884,TD!$K$47:$L$65,2,0)," ")</f>
        <v>PM/0131/0108/45990160207</v>
      </c>
      <c r="AB884" s="164" t="s">
        <v>138</v>
      </c>
      <c r="AC884" s="263" t="s">
        <v>205</v>
      </c>
    </row>
    <row r="885" spans="2:29" ht="70" x14ac:dyDescent="0.35">
      <c r="B885" s="166">
        <v>20250972</v>
      </c>
      <c r="C885" s="50" t="s">
        <v>208</v>
      </c>
      <c r="D885" s="246" t="s">
        <v>166</v>
      </c>
      <c r="E885" s="51" t="s">
        <v>558</v>
      </c>
      <c r="F885" s="260" t="s">
        <v>1144</v>
      </c>
      <c r="G885" s="260" t="s">
        <v>156</v>
      </c>
      <c r="H885" s="161" t="s">
        <v>606</v>
      </c>
      <c r="I885" s="261">
        <v>10</v>
      </c>
      <c r="J885" s="261">
        <v>0</v>
      </c>
      <c r="K885" s="162">
        <v>6</v>
      </c>
      <c r="L885" s="164">
        <v>563028</v>
      </c>
      <c r="M885" s="163" t="s">
        <v>464</v>
      </c>
      <c r="N885" s="164" t="s">
        <v>607</v>
      </c>
      <c r="O885" s="51" t="s">
        <v>219</v>
      </c>
      <c r="P885" s="262" t="str">
        <f>IFERROR(VLOOKUP(C885,TD!$B$33:$F$37,2,0)," ")</f>
        <v>O230117</v>
      </c>
      <c r="Q885" s="262" t="str">
        <f>IFERROR(VLOOKUP(C885,TD!$B$33:$F$37,3,0)," ")</f>
        <v>4599</v>
      </c>
      <c r="R885" s="262">
        <f>IFERROR(VLOOKUP(C885,TD!$B$33:$F$37,4,0)," ")</f>
        <v>20240207</v>
      </c>
      <c r="S885" s="51" t="s">
        <v>185</v>
      </c>
      <c r="T885" s="248" t="str">
        <f>IFERROR(VLOOKUP(S885,TD!$J$34:$K$44,2,0)," ")</f>
        <v>Infraestructura física, mantenimiento y dotación (Sedes construidas, mantenidas reforzadas)</v>
      </c>
      <c r="U885" s="249" t="str">
        <f>CONCATENATE(S885,"-",T885)</f>
        <v>08-Infraestructura física, mantenimiento y dotación (Sedes construidas, mantenidas reforzadas)</v>
      </c>
      <c r="V885" s="51" t="s">
        <v>238</v>
      </c>
      <c r="W885" s="248" t="str">
        <f>IFERROR(VLOOKUP(V885,TD!$N$34:$O$46,2,0)," ")</f>
        <v>Sedes mantenidas</v>
      </c>
      <c r="X885" s="249" t="str">
        <f>CONCATENATE(V885,"_",W885)</f>
        <v>016_Sedes mantenidas</v>
      </c>
      <c r="Y885" s="249" t="str">
        <f>CONCATENATE(U885," ",X885)</f>
        <v>08-Infraestructura física, mantenimiento y dotación (Sedes construidas, mantenidas reforzadas) 016_Sedes mantenidas</v>
      </c>
      <c r="Z885" s="262" t="str">
        <f>CONCATENATE(P885,Q885,R885,S885,V885)</f>
        <v>O23011745992024020708016</v>
      </c>
      <c r="AA885" s="262" t="str">
        <f>IFERROR(VLOOKUP(Y885,TD!$K$47:$L$65,2,0)," ")</f>
        <v>PM/0131/0108/45990160207</v>
      </c>
      <c r="AB885" s="164" t="s">
        <v>138</v>
      </c>
      <c r="AC885" s="263" t="s">
        <v>205</v>
      </c>
    </row>
    <row r="886" spans="2:29" ht="56" x14ac:dyDescent="0.35">
      <c r="B886" s="166">
        <v>20250973</v>
      </c>
      <c r="C886" s="50" t="s">
        <v>208</v>
      </c>
      <c r="D886" s="246" t="s">
        <v>166</v>
      </c>
      <c r="E886" s="51" t="s">
        <v>558</v>
      </c>
      <c r="F886" s="260" t="s">
        <v>1145</v>
      </c>
      <c r="G886" s="260" t="s">
        <v>156</v>
      </c>
      <c r="H886" s="161" t="s">
        <v>606</v>
      </c>
      <c r="I886" s="261">
        <v>10</v>
      </c>
      <c r="J886" s="261">
        <v>2</v>
      </c>
      <c r="K886" s="162">
        <v>28</v>
      </c>
      <c r="L886" s="164">
        <v>9093333</v>
      </c>
      <c r="M886" s="163" t="s">
        <v>464</v>
      </c>
      <c r="N886" s="164" t="s">
        <v>607</v>
      </c>
      <c r="O886" s="51" t="s">
        <v>219</v>
      </c>
      <c r="P886" s="262" t="str">
        <f>IFERROR(VLOOKUP(C886,TD!$B$33:$F$37,2,0)," ")</f>
        <v>O230117</v>
      </c>
      <c r="Q886" s="262" t="str">
        <f>IFERROR(VLOOKUP(C886,TD!$B$33:$F$37,3,0)," ")</f>
        <v>4599</v>
      </c>
      <c r="R886" s="262">
        <f>IFERROR(VLOOKUP(C886,TD!$B$33:$F$37,4,0)," ")</f>
        <v>20240207</v>
      </c>
      <c r="S886" s="51" t="s">
        <v>185</v>
      </c>
      <c r="T886" s="248" t="str">
        <f>IFERROR(VLOOKUP(S886,TD!$J$34:$K$44,2,0)," ")</f>
        <v>Infraestructura física, mantenimiento y dotación (Sedes construidas, mantenidas reforzadas)</v>
      </c>
      <c r="U886" s="249" t="str">
        <f>CONCATENATE(S886,"-",T886)</f>
        <v>08-Infraestructura física, mantenimiento y dotación (Sedes construidas, mantenidas reforzadas)</v>
      </c>
      <c r="V886" s="51" t="s">
        <v>238</v>
      </c>
      <c r="W886" s="248" t="str">
        <f>IFERROR(VLOOKUP(V886,TD!$N$34:$O$46,2,0)," ")</f>
        <v>Sedes mantenidas</v>
      </c>
      <c r="X886" s="249" t="str">
        <f>CONCATENATE(V886,"_",W886)</f>
        <v>016_Sedes mantenidas</v>
      </c>
      <c r="Y886" s="249" t="str">
        <f>CONCATENATE(U886," ",X886)</f>
        <v>08-Infraestructura física, mantenimiento y dotación (Sedes construidas, mantenidas reforzadas) 016_Sedes mantenidas</v>
      </c>
      <c r="Z886" s="262" t="str">
        <f>CONCATENATE(P886,Q886,R886,S886,V886)</f>
        <v>O23011745992024020708016</v>
      </c>
      <c r="AA886" s="262" t="str">
        <f>IFERROR(VLOOKUP(Y886,TD!$K$47:$L$65,2,0)," ")</f>
        <v>PM/0131/0108/45990160207</v>
      </c>
      <c r="AB886" s="164" t="s">
        <v>138</v>
      </c>
      <c r="AC886" s="263" t="s">
        <v>205</v>
      </c>
    </row>
    <row r="887" spans="2:29" ht="56" x14ac:dyDescent="0.35">
      <c r="B887" s="132">
        <v>20250974</v>
      </c>
      <c r="C887" s="50" t="s">
        <v>208</v>
      </c>
      <c r="D887" s="246" t="s">
        <v>166</v>
      </c>
      <c r="E887" s="51" t="s">
        <v>558</v>
      </c>
      <c r="F887" s="260" t="s">
        <v>1146</v>
      </c>
      <c r="G887" s="260" t="s">
        <v>155</v>
      </c>
      <c r="H887" s="161" t="s">
        <v>606</v>
      </c>
      <c r="I887" s="261">
        <v>10</v>
      </c>
      <c r="J887" s="261">
        <v>0</v>
      </c>
      <c r="K887" s="162">
        <v>18</v>
      </c>
      <c r="L887" s="164">
        <v>3096652</v>
      </c>
      <c r="M887" s="163" t="s">
        <v>464</v>
      </c>
      <c r="N887" s="164" t="s">
        <v>607</v>
      </c>
      <c r="O887" s="51" t="s">
        <v>219</v>
      </c>
      <c r="P887" s="262" t="str">
        <f>IFERROR(VLOOKUP(C887,TD!$B$33:$F$37,2,0)," ")</f>
        <v>O230117</v>
      </c>
      <c r="Q887" s="262" t="str">
        <f>IFERROR(VLOOKUP(C887,TD!$B$33:$F$37,3,0)," ")</f>
        <v>4599</v>
      </c>
      <c r="R887" s="262">
        <f>IFERROR(VLOOKUP(C887,TD!$B$33:$F$37,4,0)," ")</f>
        <v>20240207</v>
      </c>
      <c r="S887" s="51" t="s">
        <v>185</v>
      </c>
      <c r="T887" s="248" t="str">
        <f>IFERROR(VLOOKUP(S887,TD!$J$34:$K$44,2,0)," ")</f>
        <v>Infraestructura física, mantenimiento y dotación (Sedes construidas, mantenidas reforzadas)</v>
      </c>
      <c r="U887" s="249" t="str">
        <f>CONCATENATE(S887,"-",T887)</f>
        <v>08-Infraestructura física, mantenimiento y dotación (Sedes construidas, mantenidas reforzadas)</v>
      </c>
      <c r="V887" s="51" t="s">
        <v>238</v>
      </c>
      <c r="W887" s="248" t="str">
        <f>IFERROR(VLOOKUP(V887,TD!$N$34:$O$46,2,0)," ")</f>
        <v>Sedes mantenidas</v>
      </c>
      <c r="X887" s="249" t="str">
        <f>CONCATENATE(V887,"_",W887)</f>
        <v>016_Sedes mantenidas</v>
      </c>
      <c r="Y887" s="249" t="str">
        <f>CONCATENATE(U887," ",X887)</f>
        <v>08-Infraestructura física, mantenimiento y dotación (Sedes construidas, mantenidas reforzadas) 016_Sedes mantenidas</v>
      </c>
      <c r="Z887" s="262" t="str">
        <f>CONCATENATE(P887,Q887,R887,S887,V887)</f>
        <v>O23011745992024020708016</v>
      </c>
      <c r="AA887" s="262" t="str">
        <f>IFERROR(VLOOKUP(Y887,TD!$K$47:$L$65,2,0)," ")</f>
        <v>PM/0131/0108/45990160207</v>
      </c>
      <c r="AB887" s="164" t="s">
        <v>138</v>
      </c>
      <c r="AC887" s="263" t="s">
        <v>205</v>
      </c>
    </row>
    <row r="888" spans="2:29" ht="56" x14ac:dyDescent="0.35">
      <c r="B888" s="160">
        <v>20250975</v>
      </c>
      <c r="C888" s="50" t="s">
        <v>208</v>
      </c>
      <c r="D888" s="246" t="s">
        <v>166</v>
      </c>
      <c r="E888" s="51" t="s">
        <v>558</v>
      </c>
      <c r="F888" s="260" t="s">
        <v>1147</v>
      </c>
      <c r="G888" s="260" t="s">
        <v>155</v>
      </c>
      <c r="H888" s="161" t="s">
        <v>606</v>
      </c>
      <c r="I888" s="261">
        <v>10</v>
      </c>
      <c r="J888" s="261">
        <v>0</v>
      </c>
      <c r="K888" s="162">
        <v>10</v>
      </c>
      <c r="L888" s="164">
        <v>1720362</v>
      </c>
      <c r="M888" s="163" t="s">
        <v>464</v>
      </c>
      <c r="N888" s="164" t="s">
        <v>607</v>
      </c>
      <c r="O888" s="51" t="s">
        <v>219</v>
      </c>
      <c r="P888" s="262" t="str">
        <f>IFERROR(VLOOKUP(C888,TD!$B$33:$F$37,2,0)," ")</f>
        <v>O230117</v>
      </c>
      <c r="Q888" s="262" t="str">
        <f>IFERROR(VLOOKUP(C888,TD!$B$33:$F$37,3,0)," ")</f>
        <v>4599</v>
      </c>
      <c r="R888" s="262">
        <f>IFERROR(VLOOKUP(C888,TD!$B$33:$F$37,4,0)," ")</f>
        <v>20240207</v>
      </c>
      <c r="S888" s="51" t="s">
        <v>185</v>
      </c>
      <c r="T888" s="248" t="str">
        <f>IFERROR(VLOOKUP(S888,TD!$J$34:$K$44,2,0)," ")</f>
        <v>Infraestructura física, mantenimiento y dotación (Sedes construidas, mantenidas reforzadas)</v>
      </c>
      <c r="U888" s="249" t="str">
        <f>CONCATENATE(S888,"-",T888)</f>
        <v>08-Infraestructura física, mantenimiento y dotación (Sedes construidas, mantenidas reforzadas)</v>
      </c>
      <c r="V888" s="51" t="s">
        <v>238</v>
      </c>
      <c r="W888" s="248" t="str">
        <f>IFERROR(VLOOKUP(V888,TD!$N$34:$O$46,2,0)," ")</f>
        <v>Sedes mantenidas</v>
      </c>
      <c r="X888" s="249" t="str">
        <f>CONCATENATE(V888,"_",W888)</f>
        <v>016_Sedes mantenidas</v>
      </c>
      <c r="Y888" s="249" t="str">
        <f>CONCATENATE(U888," ",X888)</f>
        <v>08-Infraestructura física, mantenimiento y dotación (Sedes construidas, mantenidas reforzadas) 016_Sedes mantenidas</v>
      </c>
      <c r="Z888" s="262" t="str">
        <f>CONCATENATE(P888,Q888,R888,S888,V888)</f>
        <v>O23011745992024020708016</v>
      </c>
      <c r="AA888" s="262" t="str">
        <f>IFERROR(VLOOKUP(Y888,TD!$K$47:$L$65,2,0)," ")</f>
        <v>PM/0131/0108/45990160207</v>
      </c>
      <c r="AB888" s="164" t="s">
        <v>138</v>
      </c>
      <c r="AC888" s="263" t="s">
        <v>205</v>
      </c>
    </row>
    <row r="889" spans="2:29" ht="56" x14ac:dyDescent="0.35">
      <c r="B889" s="166">
        <v>20250976</v>
      </c>
      <c r="C889" s="50" t="s">
        <v>208</v>
      </c>
      <c r="D889" s="246" t="s">
        <v>166</v>
      </c>
      <c r="E889" s="51" t="s">
        <v>558</v>
      </c>
      <c r="F889" s="260" t="s">
        <v>1148</v>
      </c>
      <c r="G889" s="260" t="s">
        <v>155</v>
      </c>
      <c r="H889" s="161" t="s">
        <v>606</v>
      </c>
      <c r="I889" s="261">
        <v>10</v>
      </c>
      <c r="J889" s="261">
        <v>1</v>
      </c>
      <c r="K889" s="162">
        <v>16</v>
      </c>
      <c r="L889" s="164">
        <v>7913667</v>
      </c>
      <c r="M889" s="163" t="s">
        <v>464</v>
      </c>
      <c r="N889" s="164" t="s">
        <v>607</v>
      </c>
      <c r="O889" s="51" t="s">
        <v>219</v>
      </c>
      <c r="P889" s="262" t="str">
        <f>IFERROR(VLOOKUP(C889,TD!$B$33:$F$37,2,0)," ")</f>
        <v>O230117</v>
      </c>
      <c r="Q889" s="262" t="str">
        <f>IFERROR(VLOOKUP(C889,TD!$B$33:$F$37,3,0)," ")</f>
        <v>4599</v>
      </c>
      <c r="R889" s="262">
        <f>IFERROR(VLOOKUP(C889,TD!$B$33:$F$37,4,0)," ")</f>
        <v>20240207</v>
      </c>
      <c r="S889" s="51" t="s">
        <v>185</v>
      </c>
      <c r="T889" s="248" t="str">
        <f>IFERROR(VLOOKUP(S889,TD!$J$34:$K$44,2,0)," ")</f>
        <v>Infraestructura física, mantenimiento y dotación (Sedes construidas, mantenidas reforzadas)</v>
      </c>
      <c r="U889" s="249" t="str">
        <f>CONCATENATE(S889,"-",T889)</f>
        <v>08-Infraestructura física, mantenimiento y dotación (Sedes construidas, mantenidas reforzadas)</v>
      </c>
      <c r="V889" s="51" t="s">
        <v>238</v>
      </c>
      <c r="W889" s="248" t="str">
        <f>IFERROR(VLOOKUP(V889,TD!$N$34:$O$46,2,0)," ")</f>
        <v>Sedes mantenidas</v>
      </c>
      <c r="X889" s="249" t="str">
        <f>CONCATENATE(V889,"_",W889)</f>
        <v>016_Sedes mantenidas</v>
      </c>
      <c r="Y889" s="249" t="str">
        <f>CONCATENATE(U889," ",X889)</f>
        <v>08-Infraestructura física, mantenimiento y dotación (Sedes construidas, mantenidas reforzadas) 016_Sedes mantenidas</v>
      </c>
      <c r="Z889" s="262" t="str">
        <f>CONCATENATE(P889,Q889,R889,S889,V889)</f>
        <v>O23011745992024020708016</v>
      </c>
      <c r="AA889" s="262" t="str">
        <f>IFERROR(VLOOKUP(Y889,TD!$K$47:$L$65,2,0)," ")</f>
        <v>PM/0131/0108/45990160207</v>
      </c>
      <c r="AB889" s="164" t="s">
        <v>138</v>
      </c>
      <c r="AC889" s="263" t="s">
        <v>205</v>
      </c>
    </row>
    <row r="890" spans="2:29" ht="70" x14ac:dyDescent="0.35">
      <c r="B890" s="166">
        <v>20250977</v>
      </c>
      <c r="C890" s="50" t="s">
        <v>208</v>
      </c>
      <c r="D890" s="246" t="s">
        <v>166</v>
      </c>
      <c r="E890" s="51" t="s">
        <v>558</v>
      </c>
      <c r="F890" s="260" t="s">
        <v>1149</v>
      </c>
      <c r="G890" s="260" t="s">
        <v>155</v>
      </c>
      <c r="H890" s="161" t="s">
        <v>606</v>
      </c>
      <c r="I890" s="261">
        <v>10</v>
      </c>
      <c r="J890" s="261">
        <v>0</v>
      </c>
      <c r="K890" s="162">
        <v>12</v>
      </c>
      <c r="L890" s="164">
        <v>2734706</v>
      </c>
      <c r="M890" s="163" t="s">
        <v>464</v>
      </c>
      <c r="N890" s="164" t="s">
        <v>607</v>
      </c>
      <c r="O890" s="51" t="s">
        <v>219</v>
      </c>
      <c r="P890" s="262" t="str">
        <f>IFERROR(VLOOKUP(C890,TD!$B$33:$F$37,2,0)," ")</f>
        <v>O230117</v>
      </c>
      <c r="Q890" s="262" t="str">
        <f>IFERROR(VLOOKUP(C890,TD!$B$33:$F$37,3,0)," ")</f>
        <v>4599</v>
      </c>
      <c r="R890" s="262">
        <f>IFERROR(VLOOKUP(C890,TD!$B$33:$F$37,4,0)," ")</f>
        <v>20240207</v>
      </c>
      <c r="S890" s="51" t="s">
        <v>185</v>
      </c>
      <c r="T890" s="248" t="str">
        <f>IFERROR(VLOOKUP(S890,TD!$J$34:$K$44,2,0)," ")</f>
        <v>Infraestructura física, mantenimiento y dotación (Sedes construidas, mantenidas reforzadas)</v>
      </c>
      <c r="U890" s="249" t="str">
        <f>CONCATENATE(S890,"-",T890)</f>
        <v>08-Infraestructura física, mantenimiento y dotación (Sedes construidas, mantenidas reforzadas)</v>
      </c>
      <c r="V890" s="51" t="s">
        <v>238</v>
      </c>
      <c r="W890" s="248" t="str">
        <f>IFERROR(VLOOKUP(V890,TD!$N$34:$O$46,2,0)," ")</f>
        <v>Sedes mantenidas</v>
      </c>
      <c r="X890" s="249" t="str">
        <f>CONCATENATE(V890,"_",W890)</f>
        <v>016_Sedes mantenidas</v>
      </c>
      <c r="Y890" s="249" t="str">
        <f>CONCATENATE(U890," ",X890)</f>
        <v>08-Infraestructura física, mantenimiento y dotación (Sedes construidas, mantenidas reforzadas) 016_Sedes mantenidas</v>
      </c>
      <c r="Z890" s="262" t="str">
        <f>CONCATENATE(P890,Q890,R890,S890,V890)</f>
        <v>O23011745992024020708016</v>
      </c>
      <c r="AA890" s="262" t="str">
        <f>IFERROR(VLOOKUP(Y890,TD!$K$47:$L$65,2,0)," ")</f>
        <v>PM/0131/0108/45990160207</v>
      </c>
      <c r="AB890" s="164" t="s">
        <v>138</v>
      </c>
      <c r="AC890" s="263" t="s">
        <v>205</v>
      </c>
    </row>
    <row r="891" spans="2:29" ht="70" x14ac:dyDescent="0.35">
      <c r="B891" s="166">
        <v>20250978</v>
      </c>
      <c r="C891" s="50" t="s">
        <v>208</v>
      </c>
      <c r="D891" s="246" t="s">
        <v>166</v>
      </c>
      <c r="E891" s="51" t="s">
        <v>558</v>
      </c>
      <c r="F891" s="260" t="s">
        <v>1150</v>
      </c>
      <c r="G891" s="260" t="s">
        <v>156</v>
      </c>
      <c r="H891" s="161" t="s">
        <v>606</v>
      </c>
      <c r="I891" s="261">
        <v>10</v>
      </c>
      <c r="J891" s="261">
        <v>1</v>
      </c>
      <c r="K891" s="162">
        <v>0</v>
      </c>
      <c r="L891" s="164">
        <v>3686491</v>
      </c>
      <c r="M891" s="163" t="s">
        <v>464</v>
      </c>
      <c r="N891" s="164" t="s">
        <v>607</v>
      </c>
      <c r="O891" s="51" t="s">
        <v>219</v>
      </c>
      <c r="P891" s="262" t="str">
        <f>IFERROR(VLOOKUP(C891,TD!$B$33:$F$37,2,0)," ")</f>
        <v>O230117</v>
      </c>
      <c r="Q891" s="262" t="str">
        <f>IFERROR(VLOOKUP(C891,TD!$B$33:$F$37,3,0)," ")</f>
        <v>4599</v>
      </c>
      <c r="R891" s="262">
        <f>IFERROR(VLOOKUP(C891,TD!$B$33:$F$37,4,0)," ")</f>
        <v>20240207</v>
      </c>
      <c r="S891" s="51" t="s">
        <v>185</v>
      </c>
      <c r="T891" s="248" t="str">
        <f>IFERROR(VLOOKUP(S891,TD!$J$34:$K$44,2,0)," ")</f>
        <v>Infraestructura física, mantenimiento y dotación (Sedes construidas, mantenidas reforzadas)</v>
      </c>
      <c r="U891" s="249" t="str">
        <f>CONCATENATE(S891,"-",T891)</f>
        <v>08-Infraestructura física, mantenimiento y dotación (Sedes construidas, mantenidas reforzadas)</v>
      </c>
      <c r="V891" s="51" t="s">
        <v>238</v>
      </c>
      <c r="W891" s="248" t="str">
        <f>IFERROR(VLOOKUP(V891,TD!$N$34:$O$46,2,0)," ")</f>
        <v>Sedes mantenidas</v>
      </c>
      <c r="X891" s="249" t="str">
        <f>CONCATENATE(V891,"_",W891)</f>
        <v>016_Sedes mantenidas</v>
      </c>
      <c r="Y891" s="249" t="str">
        <f>CONCATENATE(U891," ",X891)</f>
        <v>08-Infraestructura física, mantenimiento y dotación (Sedes construidas, mantenidas reforzadas) 016_Sedes mantenidas</v>
      </c>
      <c r="Z891" s="262" t="str">
        <f>CONCATENATE(P891,Q891,R891,S891,V891)</f>
        <v>O23011745992024020708016</v>
      </c>
      <c r="AA891" s="262" t="str">
        <f>IFERROR(VLOOKUP(Y891,TD!$K$47:$L$65,2,0)," ")</f>
        <v>PM/0131/0108/45990160207</v>
      </c>
      <c r="AB891" s="164" t="s">
        <v>138</v>
      </c>
      <c r="AC891" s="263" t="s">
        <v>205</v>
      </c>
    </row>
    <row r="892" spans="2:29" ht="56" x14ac:dyDescent="0.35">
      <c r="B892" s="166">
        <v>20250979</v>
      </c>
      <c r="C892" s="50" t="s">
        <v>208</v>
      </c>
      <c r="D892" s="246" t="s">
        <v>166</v>
      </c>
      <c r="E892" s="51" t="s">
        <v>558</v>
      </c>
      <c r="F892" s="260" t="s">
        <v>1151</v>
      </c>
      <c r="G892" s="260" t="s">
        <v>155</v>
      </c>
      <c r="H892" s="161" t="s">
        <v>606</v>
      </c>
      <c r="I892" s="261">
        <v>10</v>
      </c>
      <c r="J892" s="261">
        <v>1</v>
      </c>
      <c r="K892" s="162">
        <v>9</v>
      </c>
      <c r="L892" s="164">
        <v>8887793</v>
      </c>
      <c r="M892" s="163" t="s">
        <v>464</v>
      </c>
      <c r="N892" s="164" t="s">
        <v>607</v>
      </c>
      <c r="O892" s="51" t="s">
        <v>219</v>
      </c>
      <c r="P892" s="262" t="str">
        <f>IFERROR(VLOOKUP(C892,TD!$B$33:$F$37,2,0)," ")</f>
        <v>O230117</v>
      </c>
      <c r="Q892" s="262" t="str">
        <f>IFERROR(VLOOKUP(C892,TD!$B$33:$F$37,3,0)," ")</f>
        <v>4599</v>
      </c>
      <c r="R892" s="262">
        <f>IFERROR(VLOOKUP(C892,TD!$B$33:$F$37,4,0)," ")</f>
        <v>20240207</v>
      </c>
      <c r="S892" s="51" t="s">
        <v>185</v>
      </c>
      <c r="T892" s="248" t="str">
        <f>IFERROR(VLOOKUP(S892,TD!$J$34:$K$44,2,0)," ")</f>
        <v>Infraestructura física, mantenimiento y dotación (Sedes construidas, mantenidas reforzadas)</v>
      </c>
      <c r="U892" s="249" t="str">
        <f>CONCATENATE(S892,"-",T892)</f>
        <v>08-Infraestructura física, mantenimiento y dotación (Sedes construidas, mantenidas reforzadas)</v>
      </c>
      <c r="V892" s="51" t="s">
        <v>238</v>
      </c>
      <c r="W892" s="248" t="str">
        <f>IFERROR(VLOOKUP(V892,TD!$N$34:$O$46,2,0)," ")</f>
        <v>Sedes mantenidas</v>
      </c>
      <c r="X892" s="249" t="str">
        <f>CONCATENATE(V892,"_",W892)</f>
        <v>016_Sedes mantenidas</v>
      </c>
      <c r="Y892" s="249" t="str">
        <f>CONCATENATE(U892," ",X892)</f>
        <v>08-Infraestructura física, mantenimiento y dotación (Sedes construidas, mantenidas reforzadas) 016_Sedes mantenidas</v>
      </c>
      <c r="Z892" s="262" t="str">
        <f>CONCATENATE(P892,Q892,R892,S892,V892)</f>
        <v>O23011745992024020708016</v>
      </c>
      <c r="AA892" s="262" t="str">
        <f>IFERROR(VLOOKUP(Y892,TD!$K$47:$L$65,2,0)," ")</f>
        <v>PM/0131/0108/45990160207</v>
      </c>
      <c r="AB892" s="164" t="s">
        <v>138</v>
      </c>
      <c r="AC892" s="263" t="s">
        <v>205</v>
      </c>
    </row>
    <row r="893" spans="2:29" ht="56" x14ac:dyDescent="0.35">
      <c r="B893" s="132">
        <v>20250980</v>
      </c>
      <c r="C893" s="50" t="s">
        <v>208</v>
      </c>
      <c r="D893" s="246" t="s">
        <v>166</v>
      </c>
      <c r="E893" s="51" t="s">
        <v>558</v>
      </c>
      <c r="F893" s="260" t="s">
        <v>1152</v>
      </c>
      <c r="G893" s="260" t="s">
        <v>155</v>
      </c>
      <c r="H893" s="161" t="s">
        <v>606</v>
      </c>
      <c r="I893" s="261">
        <v>10</v>
      </c>
      <c r="J893" s="261">
        <v>0</v>
      </c>
      <c r="K893" s="162">
        <v>22</v>
      </c>
      <c r="L893" s="164">
        <v>3784797</v>
      </c>
      <c r="M893" s="163" t="s">
        <v>464</v>
      </c>
      <c r="N893" s="164" t="s">
        <v>607</v>
      </c>
      <c r="O893" s="51" t="s">
        <v>219</v>
      </c>
      <c r="P893" s="262" t="str">
        <f>IFERROR(VLOOKUP(C893,TD!$B$33:$F$37,2,0)," ")</f>
        <v>O230117</v>
      </c>
      <c r="Q893" s="262" t="str">
        <f>IFERROR(VLOOKUP(C893,TD!$B$33:$F$37,3,0)," ")</f>
        <v>4599</v>
      </c>
      <c r="R893" s="262">
        <f>IFERROR(VLOOKUP(C893,TD!$B$33:$F$37,4,0)," ")</f>
        <v>20240207</v>
      </c>
      <c r="S893" s="51" t="s">
        <v>185</v>
      </c>
      <c r="T893" s="248" t="str">
        <f>IFERROR(VLOOKUP(S893,TD!$J$34:$K$44,2,0)," ")</f>
        <v>Infraestructura física, mantenimiento y dotación (Sedes construidas, mantenidas reforzadas)</v>
      </c>
      <c r="U893" s="249" t="str">
        <f>CONCATENATE(S893,"-",T893)</f>
        <v>08-Infraestructura física, mantenimiento y dotación (Sedes construidas, mantenidas reforzadas)</v>
      </c>
      <c r="V893" s="51" t="s">
        <v>238</v>
      </c>
      <c r="W893" s="248" t="str">
        <f>IFERROR(VLOOKUP(V893,TD!$N$34:$O$46,2,0)," ")</f>
        <v>Sedes mantenidas</v>
      </c>
      <c r="X893" s="249" t="str">
        <f>CONCATENATE(V893,"_",W893)</f>
        <v>016_Sedes mantenidas</v>
      </c>
      <c r="Y893" s="249" t="str">
        <f>CONCATENATE(U893," ",X893)</f>
        <v>08-Infraestructura física, mantenimiento y dotación (Sedes construidas, mantenidas reforzadas) 016_Sedes mantenidas</v>
      </c>
      <c r="Z893" s="262" t="str">
        <f>CONCATENATE(P893,Q893,R893,S893,V893)</f>
        <v>O23011745992024020708016</v>
      </c>
      <c r="AA893" s="262" t="str">
        <f>IFERROR(VLOOKUP(Y893,TD!$K$47:$L$65,2,0)," ")</f>
        <v>PM/0131/0108/45990160207</v>
      </c>
      <c r="AB893" s="164" t="s">
        <v>120</v>
      </c>
      <c r="AC893" s="263" t="s">
        <v>205</v>
      </c>
    </row>
    <row r="894" spans="2:29" ht="56" x14ac:dyDescent="0.35">
      <c r="B894" s="160">
        <v>20250981</v>
      </c>
      <c r="C894" s="50" t="s">
        <v>208</v>
      </c>
      <c r="D894" s="246" t="s">
        <v>166</v>
      </c>
      <c r="E894" s="51" t="s">
        <v>558</v>
      </c>
      <c r="F894" s="260" t="s">
        <v>1153</v>
      </c>
      <c r="G894" s="260" t="s">
        <v>155</v>
      </c>
      <c r="H894" s="161" t="s">
        <v>606</v>
      </c>
      <c r="I894" s="261">
        <v>10</v>
      </c>
      <c r="J894" s="261">
        <v>1</v>
      </c>
      <c r="K894" s="162">
        <v>25</v>
      </c>
      <c r="L894" s="164">
        <v>13517132</v>
      </c>
      <c r="M894" s="163" t="s">
        <v>464</v>
      </c>
      <c r="N894" s="164" t="s">
        <v>607</v>
      </c>
      <c r="O894" s="51" t="s">
        <v>218</v>
      </c>
      <c r="P894" s="262" t="str">
        <f>IFERROR(VLOOKUP(C894,TD!$B$33:$F$37,2,0)," ")</f>
        <v>O230117</v>
      </c>
      <c r="Q894" s="262" t="str">
        <f>IFERROR(VLOOKUP(C894,TD!$B$33:$F$37,3,0)," ")</f>
        <v>4599</v>
      </c>
      <c r="R894" s="262">
        <f>IFERROR(VLOOKUP(C894,TD!$B$33:$F$37,4,0)," ")</f>
        <v>20240207</v>
      </c>
      <c r="S894" s="51" t="s">
        <v>185</v>
      </c>
      <c r="T894" s="248" t="str">
        <f>IFERROR(VLOOKUP(S894,TD!$J$34:$K$44,2,0)," ")</f>
        <v>Infraestructura física, mantenimiento y dotación (Sedes construidas, mantenidas reforzadas)</v>
      </c>
      <c r="U894" s="249" t="str">
        <f>CONCATENATE(S894,"-",T894)</f>
        <v>08-Infraestructura física, mantenimiento y dotación (Sedes construidas, mantenidas reforzadas)</v>
      </c>
      <c r="V894" s="51" t="s">
        <v>238</v>
      </c>
      <c r="W894" s="248" t="str">
        <f>IFERROR(VLOOKUP(V894,TD!$N$34:$O$46,2,0)," ")</f>
        <v>Sedes mantenidas</v>
      </c>
      <c r="X894" s="249" t="str">
        <f>CONCATENATE(V894,"_",W894)</f>
        <v>016_Sedes mantenidas</v>
      </c>
      <c r="Y894" s="249" t="str">
        <f>CONCATENATE(U894," ",X894)</f>
        <v>08-Infraestructura física, mantenimiento y dotación (Sedes construidas, mantenidas reforzadas) 016_Sedes mantenidas</v>
      </c>
      <c r="Z894" s="262" t="str">
        <f>CONCATENATE(P894,Q894,R894,S894,V894)</f>
        <v>O23011745992024020708016</v>
      </c>
      <c r="AA894" s="262" t="str">
        <f>IFERROR(VLOOKUP(Y894,TD!$K$47:$L$65,2,0)," ")</f>
        <v>PM/0131/0108/45990160207</v>
      </c>
      <c r="AB894" s="164" t="s">
        <v>138</v>
      </c>
      <c r="AC894" s="263" t="s">
        <v>205</v>
      </c>
    </row>
    <row r="895" spans="2:29" ht="84" x14ac:dyDescent="0.35">
      <c r="B895" s="166">
        <v>20250982</v>
      </c>
      <c r="C895" s="50" t="s">
        <v>208</v>
      </c>
      <c r="D895" s="246" t="s">
        <v>166</v>
      </c>
      <c r="E895" s="51" t="s">
        <v>558</v>
      </c>
      <c r="F895" s="260" t="s">
        <v>1154</v>
      </c>
      <c r="G895" s="260" t="s">
        <v>155</v>
      </c>
      <c r="H895" s="161" t="s">
        <v>606</v>
      </c>
      <c r="I895" s="261">
        <v>10</v>
      </c>
      <c r="J895" s="261">
        <v>2</v>
      </c>
      <c r="K895" s="162">
        <v>1</v>
      </c>
      <c r="L895" s="164">
        <v>18300000</v>
      </c>
      <c r="M895" s="163" t="s">
        <v>464</v>
      </c>
      <c r="N895" s="164" t="s">
        <v>607</v>
      </c>
      <c r="O895" s="51" t="s">
        <v>218</v>
      </c>
      <c r="P895" s="262" t="str">
        <f>IFERROR(VLOOKUP(C895,TD!$B$33:$F$37,2,0)," ")</f>
        <v>O230117</v>
      </c>
      <c r="Q895" s="262" t="str">
        <f>IFERROR(VLOOKUP(C895,TD!$B$33:$F$37,3,0)," ")</f>
        <v>4599</v>
      </c>
      <c r="R895" s="262">
        <f>IFERROR(VLOOKUP(C895,TD!$B$33:$F$37,4,0)," ")</f>
        <v>20240207</v>
      </c>
      <c r="S895" s="51" t="s">
        <v>185</v>
      </c>
      <c r="T895" s="248" t="str">
        <f>IFERROR(VLOOKUP(S895,TD!$J$34:$K$44,2,0)," ")</f>
        <v>Infraestructura física, mantenimiento y dotación (Sedes construidas, mantenidas reforzadas)</v>
      </c>
      <c r="U895" s="249" t="str">
        <f>CONCATENATE(S895,"-",T895)</f>
        <v>08-Infraestructura física, mantenimiento y dotación (Sedes construidas, mantenidas reforzadas)</v>
      </c>
      <c r="V895" s="51" t="s">
        <v>238</v>
      </c>
      <c r="W895" s="248" t="str">
        <f>IFERROR(VLOOKUP(V895,TD!$N$34:$O$46,2,0)," ")</f>
        <v>Sedes mantenidas</v>
      </c>
      <c r="X895" s="249" t="str">
        <f>CONCATENATE(V895,"_",W895)</f>
        <v>016_Sedes mantenidas</v>
      </c>
      <c r="Y895" s="249" t="str">
        <f>CONCATENATE(U895," ",X895)</f>
        <v>08-Infraestructura física, mantenimiento y dotación (Sedes construidas, mantenidas reforzadas) 016_Sedes mantenidas</v>
      </c>
      <c r="Z895" s="262" t="str">
        <f>CONCATENATE(P895,Q895,R895,S895,V895)</f>
        <v>O23011745992024020708016</v>
      </c>
      <c r="AA895" s="262" t="str">
        <f>IFERROR(VLOOKUP(Y895,TD!$K$47:$L$65,2,0)," ")</f>
        <v>PM/0131/0108/45990160207</v>
      </c>
      <c r="AB895" s="164" t="s">
        <v>138</v>
      </c>
      <c r="AC895" s="263" t="s">
        <v>205</v>
      </c>
    </row>
    <row r="896" spans="2:29" ht="56" x14ac:dyDescent="0.35">
      <c r="B896" s="166">
        <v>20250983</v>
      </c>
      <c r="C896" s="50" t="s">
        <v>208</v>
      </c>
      <c r="D896" s="246" t="s">
        <v>166</v>
      </c>
      <c r="E896" s="51" t="s">
        <v>558</v>
      </c>
      <c r="F896" s="260" t="s">
        <v>1155</v>
      </c>
      <c r="G896" s="260" t="s">
        <v>155</v>
      </c>
      <c r="H896" s="161" t="s">
        <v>606</v>
      </c>
      <c r="I896" s="261">
        <v>10</v>
      </c>
      <c r="J896" s="261">
        <v>2</v>
      </c>
      <c r="K896" s="162">
        <v>12</v>
      </c>
      <c r="L896" s="164">
        <v>22262016</v>
      </c>
      <c r="M896" s="163" t="s">
        <v>464</v>
      </c>
      <c r="N896" s="164" t="s">
        <v>607</v>
      </c>
      <c r="O896" s="51" t="s">
        <v>218</v>
      </c>
      <c r="P896" s="262" t="str">
        <f>IFERROR(VLOOKUP(C896,TD!$B$33:$F$37,2,0)," ")</f>
        <v>O230117</v>
      </c>
      <c r="Q896" s="262" t="str">
        <f>IFERROR(VLOOKUP(C896,TD!$B$33:$F$37,3,0)," ")</f>
        <v>4599</v>
      </c>
      <c r="R896" s="262">
        <f>IFERROR(VLOOKUP(C896,TD!$B$33:$F$37,4,0)," ")</f>
        <v>20240207</v>
      </c>
      <c r="S896" s="51" t="s">
        <v>185</v>
      </c>
      <c r="T896" s="248" t="str">
        <f>IFERROR(VLOOKUP(S896,TD!$J$34:$K$44,2,0)," ")</f>
        <v>Infraestructura física, mantenimiento y dotación (Sedes construidas, mantenidas reforzadas)</v>
      </c>
      <c r="U896" s="249" t="str">
        <f>CONCATENATE(S896,"-",T896)</f>
        <v>08-Infraestructura física, mantenimiento y dotación (Sedes construidas, mantenidas reforzadas)</v>
      </c>
      <c r="V896" s="51" t="s">
        <v>238</v>
      </c>
      <c r="W896" s="248" t="str">
        <f>IFERROR(VLOOKUP(V896,TD!$N$34:$O$46,2,0)," ")</f>
        <v>Sedes mantenidas</v>
      </c>
      <c r="X896" s="249" t="str">
        <f>CONCATENATE(V896,"_",W896)</f>
        <v>016_Sedes mantenidas</v>
      </c>
      <c r="Y896" s="249" t="str">
        <f>CONCATENATE(U896," ",X896)</f>
        <v>08-Infraestructura física, mantenimiento y dotación (Sedes construidas, mantenidas reforzadas) 016_Sedes mantenidas</v>
      </c>
      <c r="Z896" s="262" t="str">
        <f>CONCATENATE(P896,Q896,R896,S896,V896)</f>
        <v>O23011745992024020708016</v>
      </c>
      <c r="AA896" s="262" t="str">
        <f>IFERROR(VLOOKUP(Y896,TD!$K$47:$L$65,2,0)," ")</f>
        <v>PM/0131/0108/45990160207</v>
      </c>
      <c r="AB896" s="164" t="s">
        <v>138</v>
      </c>
      <c r="AC896" s="263" t="s">
        <v>205</v>
      </c>
    </row>
    <row r="897" spans="2:29" ht="56" x14ac:dyDescent="0.35">
      <c r="B897" s="166">
        <v>20250984</v>
      </c>
      <c r="C897" s="50" t="s">
        <v>208</v>
      </c>
      <c r="D897" s="246" t="s">
        <v>166</v>
      </c>
      <c r="E897" s="51" t="s">
        <v>558</v>
      </c>
      <c r="F897" s="260" t="s">
        <v>1156</v>
      </c>
      <c r="G897" s="260" t="s">
        <v>155</v>
      </c>
      <c r="H897" s="161" t="s">
        <v>606</v>
      </c>
      <c r="I897" s="261">
        <v>10</v>
      </c>
      <c r="J897" s="261">
        <v>1</v>
      </c>
      <c r="K897" s="162">
        <v>24</v>
      </c>
      <c r="L897" s="164">
        <v>16696512.000000002</v>
      </c>
      <c r="M897" s="163" t="s">
        <v>464</v>
      </c>
      <c r="N897" s="164" t="s">
        <v>607</v>
      </c>
      <c r="O897" s="51" t="s">
        <v>218</v>
      </c>
      <c r="P897" s="262" t="str">
        <f>IFERROR(VLOOKUP(C897,TD!$B$33:$F$37,2,0)," ")</f>
        <v>O230117</v>
      </c>
      <c r="Q897" s="262" t="str">
        <f>IFERROR(VLOOKUP(C897,TD!$B$33:$F$37,3,0)," ")</f>
        <v>4599</v>
      </c>
      <c r="R897" s="262">
        <f>IFERROR(VLOOKUP(C897,TD!$B$33:$F$37,4,0)," ")</f>
        <v>20240207</v>
      </c>
      <c r="S897" s="51" t="s">
        <v>185</v>
      </c>
      <c r="T897" s="248" t="str">
        <f>IFERROR(VLOOKUP(S897,TD!$J$34:$K$44,2,0)," ")</f>
        <v>Infraestructura física, mantenimiento y dotación (Sedes construidas, mantenidas reforzadas)</v>
      </c>
      <c r="U897" s="249" t="str">
        <f>CONCATENATE(S897,"-",T897)</f>
        <v>08-Infraestructura física, mantenimiento y dotación (Sedes construidas, mantenidas reforzadas)</v>
      </c>
      <c r="V897" s="51" t="s">
        <v>238</v>
      </c>
      <c r="W897" s="248" t="str">
        <f>IFERROR(VLOOKUP(V897,TD!$N$34:$O$46,2,0)," ")</f>
        <v>Sedes mantenidas</v>
      </c>
      <c r="X897" s="249" t="str">
        <f>CONCATENATE(V897,"_",W897)</f>
        <v>016_Sedes mantenidas</v>
      </c>
      <c r="Y897" s="249" t="str">
        <f>CONCATENATE(U897," ",X897)</f>
        <v>08-Infraestructura física, mantenimiento y dotación (Sedes construidas, mantenidas reforzadas) 016_Sedes mantenidas</v>
      </c>
      <c r="Z897" s="262" t="str">
        <f>CONCATENATE(P897,Q897,R897,S897,V897)</f>
        <v>O23011745992024020708016</v>
      </c>
      <c r="AA897" s="262" t="str">
        <f>IFERROR(VLOOKUP(Y897,TD!$K$47:$L$65,2,0)," ")</f>
        <v>PM/0131/0108/45990160207</v>
      </c>
      <c r="AB897" s="164" t="s">
        <v>120</v>
      </c>
      <c r="AC897" s="263" t="s">
        <v>205</v>
      </c>
    </row>
    <row r="898" spans="2:29" ht="56" x14ac:dyDescent="0.35">
      <c r="B898" s="166">
        <v>20250985</v>
      </c>
      <c r="C898" s="50" t="s">
        <v>208</v>
      </c>
      <c r="D898" s="246" t="s">
        <v>166</v>
      </c>
      <c r="E898" s="51" t="s">
        <v>558</v>
      </c>
      <c r="F898" s="260" t="s">
        <v>1157</v>
      </c>
      <c r="G898" s="260" t="s">
        <v>155</v>
      </c>
      <c r="H898" s="161" t="s">
        <v>606</v>
      </c>
      <c r="I898" s="261">
        <v>10</v>
      </c>
      <c r="J898" s="261">
        <v>0</v>
      </c>
      <c r="K898" s="162">
        <v>12</v>
      </c>
      <c r="L898" s="164">
        <v>2949192</v>
      </c>
      <c r="M898" s="163" t="s">
        <v>464</v>
      </c>
      <c r="N898" s="164" t="s">
        <v>607</v>
      </c>
      <c r="O898" s="51" t="s">
        <v>218</v>
      </c>
      <c r="P898" s="262" t="str">
        <f>IFERROR(VLOOKUP(C898,TD!$B$33:$F$37,2,0)," ")</f>
        <v>O230117</v>
      </c>
      <c r="Q898" s="262" t="str">
        <f>IFERROR(VLOOKUP(C898,TD!$B$33:$F$37,3,0)," ")</f>
        <v>4599</v>
      </c>
      <c r="R898" s="262">
        <f>IFERROR(VLOOKUP(C898,TD!$B$33:$F$37,4,0)," ")</f>
        <v>20240207</v>
      </c>
      <c r="S898" s="51" t="s">
        <v>185</v>
      </c>
      <c r="T898" s="248" t="str">
        <f>IFERROR(VLOOKUP(S898,TD!$J$34:$K$44,2,0)," ")</f>
        <v>Infraestructura física, mantenimiento y dotación (Sedes construidas, mantenidas reforzadas)</v>
      </c>
      <c r="U898" s="249" t="str">
        <f>CONCATENATE(S898,"-",T898)</f>
        <v>08-Infraestructura física, mantenimiento y dotación (Sedes construidas, mantenidas reforzadas)</v>
      </c>
      <c r="V898" s="51" t="s">
        <v>238</v>
      </c>
      <c r="W898" s="248" t="str">
        <f>IFERROR(VLOOKUP(V898,TD!$N$34:$O$46,2,0)," ")</f>
        <v>Sedes mantenidas</v>
      </c>
      <c r="X898" s="249" t="str">
        <f>CONCATENATE(V898,"_",W898)</f>
        <v>016_Sedes mantenidas</v>
      </c>
      <c r="Y898" s="249" t="str">
        <f>CONCATENATE(U898," ",X898)</f>
        <v>08-Infraestructura física, mantenimiento y dotación (Sedes construidas, mantenidas reforzadas) 016_Sedes mantenidas</v>
      </c>
      <c r="Z898" s="262" t="str">
        <f>CONCATENATE(P898,Q898,R898,S898,V898)</f>
        <v>O23011745992024020708016</v>
      </c>
      <c r="AA898" s="262" t="str">
        <f>IFERROR(VLOOKUP(Y898,TD!$K$47:$L$65,2,0)," ")</f>
        <v>PM/0131/0108/45990160207</v>
      </c>
      <c r="AB898" s="164" t="s">
        <v>138</v>
      </c>
      <c r="AC898" s="263" t="s">
        <v>205</v>
      </c>
    </row>
    <row r="899" spans="2:29" ht="70" x14ac:dyDescent="0.35">
      <c r="B899" s="132">
        <v>20250986</v>
      </c>
      <c r="C899" s="50" t="s">
        <v>208</v>
      </c>
      <c r="D899" s="246" t="s">
        <v>166</v>
      </c>
      <c r="E899" s="51" t="s">
        <v>558</v>
      </c>
      <c r="F899" s="260" t="s">
        <v>1158</v>
      </c>
      <c r="G899" s="260" t="s">
        <v>156</v>
      </c>
      <c r="H899" s="161" t="s">
        <v>606</v>
      </c>
      <c r="I899" s="261">
        <v>10</v>
      </c>
      <c r="J899" s="261">
        <v>0</v>
      </c>
      <c r="K899" s="162">
        <v>4</v>
      </c>
      <c r="L899" s="164">
        <v>461333</v>
      </c>
      <c r="M899" s="163" t="s">
        <v>464</v>
      </c>
      <c r="N899" s="164" t="s">
        <v>607</v>
      </c>
      <c r="O899" s="51" t="s">
        <v>218</v>
      </c>
      <c r="P899" s="262" t="str">
        <f>IFERROR(VLOOKUP(C899,TD!$B$33:$F$37,2,0)," ")</f>
        <v>O230117</v>
      </c>
      <c r="Q899" s="262" t="str">
        <f>IFERROR(VLOOKUP(C899,TD!$B$33:$F$37,3,0)," ")</f>
        <v>4599</v>
      </c>
      <c r="R899" s="262">
        <f>IFERROR(VLOOKUP(C899,TD!$B$33:$F$37,4,0)," ")</f>
        <v>20240207</v>
      </c>
      <c r="S899" s="51" t="s">
        <v>185</v>
      </c>
      <c r="T899" s="248" t="str">
        <f>IFERROR(VLOOKUP(S899,TD!$J$34:$K$44,2,0)," ")</f>
        <v>Infraestructura física, mantenimiento y dotación (Sedes construidas, mantenidas reforzadas)</v>
      </c>
      <c r="U899" s="249" t="str">
        <f>CONCATENATE(S899,"-",T899)</f>
        <v>08-Infraestructura física, mantenimiento y dotación (Sedes construidas, mantenidas reforzadas)</v>
      </c>
      <c r="V899" s="51" t="s">
        <v>238</v>
      </c>
      <c r="W899" s="248" t="str">
        <f>IFERROR(VLOOKUP(V899,TD!$N$34:$O$46,2,0)," ")</f>
        <v>Sedes mantenidas</v>
      </c>
      <c r="X899" s="249" t="str">
        <f>CONCATENATE(V899,"_",W899)</f>
        <v>016_Sedes mantenidas</v>
      </c>
      <c r="Y899" s="249" t="str">
        <f>CONCATENATE(U899," ",X899)</f>
        <v>08-Infraestructura física, mantenimiento y dotación (Sedes construidas, mantenidas reforzadas) 016_Sedes mantenidas</v>
      </c>
      <c r="Z899" s="262" t="str">
        <f>CONCATENATE(P899,Q899,R899,S899,V899)</f>
        <v>O23011745992024020708016</v>
      </c>
      <c r="AA899" s="262" t="str">
        <f>IFERROR(VLOOKUP(Y899,TD!$K$47:$L$65,2,0)," ")</f>
        <v>PM/0131/0108/45990160207</v>
      </c>
      <c r="AB899" s="164" t="s">
        <v>138</v>
      </c>
      <c r="AC899" s="263" t="s">
        <v>205</v>
      </c>
    </row>
    <row r="900" spans="2:29" ht="56" x14ac:dyDescent="0.35">
      <c r="B900" s="160">
        <v>20250987</v>
      </c>
      <c r="C900" s="50" t="s">
        <v>208</v>
      </c>
      <c r="D900" s="246" t="s">
        <v>166</v>
      </c>
      <c r="E900" s="51" t="s">
        <v>558</v>
      </c>
      <c r="F900" s="260" t="s">
        <v>1159</v>
      </c>
      <c r="G900" s="260" t="s">
        <v>156</v>
      </c>
      <c r="H900" s="161" t="s">
        <v>606</v>
      </c>
      <c r="I900" s="261">
        <v>10</v>
      </c>
      <c r="J900" s="261">
        <v>1</v>
      </c>
      <c r="K900" s="162">
        <v>7</v>
      </c>
      <c r="L900" s="164">
        <v>4050671</v>
      </c>
      <c r="M900" s="163" t="s">
        <v>464</v>
      </c>
      <c r="N900" s="164" t="s">
        <v>607</v>
      </c>
      <c r="O900" s="51" t="s">
        <v>218</v>
      </c>
      <c r="P900" s="262" t="str">
        <f>IFERROR(VLOOKUP(C900,TD!$B$33:$F$37,2,0)," ")</f>
        <v>O230117</v>
      </c>
      <c r="Q900" s="262" t="str">
        <f>IFERROR(VLOOKUP(C900,TD!$B$33:$F$37,3,0)," ")</f>
        <v>4599</v>
      </c>
      <c r="R900" s="262">
        <f>IFERROR(VLOOKUP(C900,TD!$B$33:$F$37,4,0)," ")</f>
        <v>20240207</v>
      </c>
      <c r="S900" s="51" t="s">
        <v>185</v>
      </c>
      <c r="T900" s="248" t="str">
        <f>IFERROR(VLOOKUP(S900,TD!$J$34:$K$44,2,0)," ")</f>
        <v>Infraestructura física, mantenimiento y dotación (Sedes construidas, mantenidas reforzadas)</v>
      </c>
      <c r="U900" s="249" t="str">
        <f>CONCATENATE(S900,"-",T900)</f>
        <v>08-Infraestructura física, mantenimiento y dotación (Sedes construidas, mantenidas reforzadas)</v>
      </c>
      <c r="V900" s="51" t="s">
        <v>238</v>
      </c>
      <c r="W900" s="248" t="str">
        <f>IFERROR(VLOOKUP(V900,TD!$N$34:$O$46,2,0)," ")</f>
        <v>Sedes mantenidas</v>
      </c>
      <c r="X900" s="249" t="str">
        <f>CONCATENATE(V900,"_",W900)</f>
        <v>016_Sedes mantenidas</v>
      </c>
      <c r="Y900" s="249" t="str">
        <f>CONCATENATE(U900," ",X900)</f>
        <v>08-Infraestructura física, mantenimiento y dotación (Sedes construidas, mantenidas reforzadas) 016_Sedes mantenidas</v>
      </c>
      <c r="Z900" s="262" t="str">
        <f>CONCATENATE(P900,Q900,R900,S900,V900)</f>
        <v>O23011745992024020708016</v>
      </c>
      <c r="AA900" s="262" t="str">
        <f>IFERROR(VLOOKUP(Y900,TD!$K$47:$L$65,2,0)," ")</f>
        <v>PM/0131/0108/45990160207</v>
      </c>
      <c r="AB900" s="164" t="s">
        <v>138</v>
      </c>
      <c r="AC900" s="263" t="s">
        <v>205</v>
      </c>
    </row>
    <row r="901" spans="2:29" ht="70" x14ac:dyDescent="0.35">
      <c r="B901" s="166">
        <v>20250988</v>
      </c>
      <c r="C901" s="50" t="s">
        <v>208</v>
      </c>
      <c r="D901" s="246" t="s">
        <v>166</v>
      </c>
      <c r="E901" s="51" t="s">
        <v>558</v>
      </c>
      <c r="F901" s="260" t="s">
        <v>1160</v>
      </c>
      <c r="G901" s="260" t="s">
        <v>155</v>
      </c>
      <c r="H901" s="161" t="s">
        <v>606</v>
      </c>
      <c r="I901" s="261">
        <v>10</v>
      </c>
      <c r="J901" s="261">
        <v>2</v>
      </c>
      <c r="K901" s="162">
        <v>11</v>
      </c>
      <c r="L901" s="164">
        <v>14276772</v>
      </c>
      <c r="M901" s="163" t="s">
        <v>464</v>
      </c>
      <c r="N901" s="164" t="s">
        <v>607</v>
      </c>
      <c r="O901" s="51" t="s">
        <v>219</v>
      </c>
      <c r="P901" s="262" t="str">
        <f>IFERROR(VLOOKUP(C901,TD!$B$33:$F$37,2,0)," ")</f>
        <v>O230117</v>
      </c>
      <c r="Q901" s="262" t="str">
        <f>IFERROR(VLOOKUP(C901,TD!$B$33:$F$37,3,0)," ")</f>
        <v>4599</v>
      </c>
      <c r="R901" s="262">
        <f>IFERROR(VLOOKUP(C901,TD!$B$33:$F$37,4,0)," ")</f>
        <v>20240207</v>
      </c>
      <c r="S901" s="51" t="s">
        <v>185</v>
      </c>
      <c r="T901" s="248" t="str">
        <f>IFERROR(VLOOKUP(S901,TD!$J$34:$K$44,2,0)," ")</f>
        <v>Infraestructura física, mantenimiento y dotación (Sedes construidas, mantenidas reforzadas)</v>
      </c>
      <c r="U901" s="249" t="str">
        <f>CONCATENATE(S901,"-",T901)</f>
        <v>08-Infraestructura física, mantenimiento y dotación (Sedes construidas, mantenidas reforzadas)</v>
      </c>
      <c r="V901" s="51" t="s">
        <v>238</v>
      </c>
      <c r="W901" s="248" t="str">
        <f>IFERROR(VLOOKUP(V901,TD!$N$34:$O$46,2,0)," ")</f>
        <v>Sedes mantenidas</v>
      </c>
      <c r="X901" s="249" t="str">
        <f>CONCATENATE(V901,"_",W901)</f>
        <v>016_Sedes mantenidas</v>
      </c>
      <c r="Y901" s="249" t="str">
        <f>CONCATENATE(U901," ",X901)</f>
        <v>08-Infraestructura física, mantenimiento y dotación (Sedes construidas, mantenidas reforzadas) 016_Sedes mantenidas</v>
      </c>
      <c r="Z901" s="262" t="str">
        <f>CONCATENATE(P901,Q901,R901,S901,V901)</f>
        <v>O23011745992024020708016</v>
      </c>
      <c r="AA901" s="262" t="str">
        <f>IFERROR(VLOOKUP(Y901,TD!$K$47:$L$65,2,0)," ")</f>
        <v>PM/0131/0108/45990160207</v>
      </c>
      <c r="AB901" s="164" t="s">
        <v>138</v>
      </c>
      <c r="AC901" s="263" t="s">
        <v>205</v>
      </c>
    </row>
    <row r="902" spans="2:29" ht="70" x14ac:dyDescent="0.35">
      <c r="B902" s="166">
        <v>20250989</v>
      </c>
      <c r="C902" s="50" t="s">
        <v>208</v>
      </c>
      <c r="D902" s="246" t="s">
        <v>166</v>
      </c>
      <c r="E902" s="51" t="s">
        <v>558</v>
      </c>
      <c r="F902" s="260" t="s">
        <v>1161</v>
      </c>
      <c r="G902" s="260" t="s">
        <v>155</v>
      </c>
      <c r="H902" s="161" t="s">
        <v>606</v>
      </c>
      <c r="I902" s="261">
        <v>10</v>
      </c>
      <c r="J902" s="261">
        <v>2</v>
      </c>
      <c r="K902" s="162">
        <v>10</v>
      </c>
      <c r="L902" s="164">
        <v>14075691</v>
      </c>
      <c r="M902" s="163" t="s">
        <v>464</v>
      </c>
      <c r="N902" s="164" t="s">
        <v>607</v>
      </c>
      <c r="O902" s="51" t="s">
        <v>219</v>
      </c>
      <c r="P902" s="262" t="str">
        <f>IFERROR(VLOOKUP(C902,TD!$B$33:$F$37,2,0)," ")</f>
        <v>O230117</v>
      </c>
      <c r="Q902" s="262" t="str">
        <f>IFERROR(VLOOKUP(C902,TD!$B$33:$F$37,3,0)," ")</f>
        <v>4599</v>
      </c>
      <c r="R902" s="262">
        <f>IFERROR(VLOOKUP(C902,TD!$B$33:$F$37,4,0)," ")</f>
        <v>20240207</v>
      </c>
      <c r="S902" s="51" t="s">
        <v>185</v>
      </c>
      <c r="T902" s="248" t="str">
        <f>IFERROR(VLOOKUP(S902,TD!$J$34:$K$44,2,0)," ")</f>
        <v>Infraestructura física, mantenimiento y dotación (Sedes construidas, mantenidas reforzadas)</v>
      </c>
      <c r="U902" s="249" t="str">
        <f>CONCATENATE(S902,"-",T902)</f>
        <v>08-Infraestructura física, mantenimiento y dotación (Sedes construidas, mantenidas reforzadas)</v>
      </c>
      <c r="V902" s="51" t="s">
        <v>238</v>
      </c>
      <c r="W902" s="248" t="str">
        <f>IFERROR(VLOOKUP(V902,TD!$N$34:$O$46,2,0)," ")</f>
        <v>Sedes mantenidas</v>
      </c>
      <c r="X902" s="249" t="str">
        <f>CONCATENATE(V902,"_",W902)</f>
        <v>016_Sedes mantenidas</v>
      </c>
      <c r="Y902" s="249" t="str">
        <f>CONCATENATE(U902," ",X902)</f>
        <v>08-Infraestructura física, mantenimiento y dotación (Sedes construidas, mantenidas reforzadas) 016_Sedes mantenidas</v>
      </c>
      <c r="Z902" s="262" t="str">
        <f>CONCATENATE(P902,Q902,R902,S902,V902)</f>
        <v>O23011745992024020708016</v>
      </c>
      <c r="AA902" s="262" t="str">
        <f>IFERROR(VLOOKUP(Y902,TD!$K$47:$L$65,2,0)," ")</f>
        <v>PM/0131/0108/45990160207</v>
      </c>
      <c r="AB902" s="164" t="s">
        <v>138</v>
      </c>
      <c r="AC902" s="263" t="s">
        <v>205</v>
      </c>
    </row>
    <row r="903" spans="2:29" ht="84" x14ac:dyDescent="0.35">
      <c r="B903" s="166">
        <v>20250990</v>
      </c>
      <c r="C903" s="50" t="s">
        <v>208</v>
      </c>
      <c r="D903" s="246" t="s">
        <v>166</v>
      </c>
      <c r="E903" s="51" t="s">
        <v>558</v>
      </c>
      <c r="F903" s="260" t="s">
        <v>1162</v>
      </c>
      <c r="G903" s="260" t="s">
        <v>156</v>
      </c>
      <c r="H903" s="161" t="s">
        <v>606</v>
      </c>
      <c r="I903" s="261">
        <v>10</v>
      </c>
      <c r="J903" s="261">
        <v>2</v>
      </c>
      <c r="K903" s="162">
        <v>20</v>
      </c>
      <c r="L903" s="164">
        <v>11975509</v>
      </c>
      <c r="M903" s="163" t="s">
        <v>464</v>
      </c>
      <c r="N903" s="164" t="s">
        <v>607</v>
      </c>
      <c r="O903" s="51" t="s">
        <v>219</v>
      </c>
      <c r="P903" s="262" t="str">
        <f>IFERROR(VLOOKUP(C903,TD!$B$33:$F$37,2,0)," ")</f>
        <v>O230117</v>
      </c>
      <c r="Q903" s="262" t="str">
        <f>IFERROR(VLOOKUP(C903,TD!$B$33:$F$37,3,0)," ")</f>
        <v>4599</v>
      </c>
      <c r="R903" s="262">
        <f>IFERROR(VLOOKUP(C903,TD!$B$33:$F$37,4,0)," ")</f>
        <v>20240207</v>
      </c>
      <c r="S903" s="51" t="s">
        <v>185</v>
      </c>
      <c r="T903" s="248" t="str">
        <f>IFERROR(VLOOKUP(S903,TD!$J$34:$K$44,2,0)," ")</f>
        <v>Infraestructura física, mantenimiento y dotación (Sedes construidas, mantenidas reforzadas)</v>
      </c>
      <c r="U903" s="249" t="str">
        <f>CONCATENATE(S903,"-",T903)</f>
        <v>08-Infraestructura física, mantenimiento y dotación (Sedes construidas, mantenidas reforzadas)</v>
      </c>
      <c r="V903" s="51" t="s">
        <v>238</v>
      </c>
      <c r="W903" s="248" t="str">
        <f>IFERROR(VLOOKUP(V903,TD!$N$34:$O$46,2,0)," ")</f>
        <v>Sedes mantenidas</v>
      </c>
      <c r="X903" s="249" t="str">
        <f>CONCATENATE(V903,"_",W903)</f>
        <v>016_Sedes mantenidas</v>
      </c>
      <c r="Y903" s="249" t="str">
        <f>CONCATENATE(U903," ",X903)</f>
        <v>08-Infraestructura física, mantenimiento y dotación (Sedes construidas, mantenidas reforzadas) 016_Sedes mantenidas</v>
      </c>
      <c r="Z903" s="262" t="str">
        <f>CONCATENATE(P903,Q903,R903,S903,V903)</f>
        <v>O23011745992024020708016</v>
      </c>
      <c r="AA903" s="262" t="str">
        <f>IFERROR(VLOOKUP(Y903,TD!$K$47:$L$65,2,0)," ")</f>
        <v>PM/0131/0108/45990160207</v>
      </c>
      <c r="AB903" s="164" t="s">
        <v>138</v>
      </c>
      <c r="AC903" s="263" t="s">
        <v>205</v>
      </c>
    </row>
    <row r="904" spans="2:29" ht="56" x14ac:dyDescent="0.35">
      <c r="B904" s="166">
        <v>20250991</v>
      </c>
      <c r="C904" s="50" t="s">
        <v>208</v>
      </c>
      <c r="D904" s="246" t="s">
        <v>166</v>
      </c>
      <c r="E904" s="51" t="s">
        <v>558</v>
      </c>
      <c r="F904" s="260" t="s">
        <v>1163</v>
      </c>
      <c r="G904" s="260" t="s">
        <v>155</v>
      </c>
      <c r="H904" s="161" t="s">
        <v>606</v>
      </c>
      <c r="I904" s="261">
        <v>10</v>
      </c>
      <c r="J904" s="261">
        <v>1</v>
      </c>
      <c r="K904" s="162">
        <v>4</v>
      </c>
      <c r="L904" s="164">
        <v>6836764</v>
      </c>
      <c r="M904" s="163" t="s">
        <v>464</v>
      </c>
      <c r="N904" s="164" t="s">
        <v>607</v>
      </c>
      <c r="O904" s="51" t="s">
        <v>219</v>
      </c>
      <c r="P904" s="262" t="str">
        <f>IFERROR(VLOOKUP(C904,TD!$B$33:$F$37,2,0)," ")</f>
        <v>O230117</v>
      </c>
      <c r="Q904" s="262" t="str">
        <f>IFERROR(VLOOKUP(C904,TD!$B$33:$F$37,3,0)," ")</f>
        <v>4599</v>
      </c>
      <c r="R904" s="262">
        <f>IFERROR(VLOOKUP(C904,TD!$B$33:$F$37,4,0)," ")</f>
        <v>20240207</v>
      </c>
      <c r="S904" s="51" t="s">
        <v>185</v>
      </c>
      <c r="T904" s="248" t="str">
        <f>IFERROR(VLOOKUP(S904,TD!$J$34:$K$44,2,0)," ")</f>
        <v>Infraestructura física, mantenimiento y dotación (Sedes construidas, mantenidas reforzadas)</v>
      </c>
      <c r="U904" s="249" t="str">
        <f>CONCATENATE(S904,"-",T904)</f>
        <v>08-Infraestructura física, mantenimiento y dotación (Sedes construidas, mantenidas reforzadas)</v>
      </c>
      <c r="V904" s="51" t="s">
        <v>238</v>
      </c>
      <c r="W904" s="248" t="str">
        <f>IFERROR(VLOOKUP(V904,TD!$N$34:$O$46,2,0)," ")</f>
        <v>Sedes mantenidas</v>
      </c>
      <c r="X904" s="249" t="str">
        <f>CONCATENATE(V904,"_",W904)</f>
        <v>016_Sedes mantenidas</v>
      </c>
      <c r="Y904" s="249" t="str">
        <f>CONCATENATE(U904," ",X904)</f>
        <v>08-Infraestructura física, mantenimiento y dotación (Sedes construidas, mantenidas reforzadas) 016_Sedes mantenidas</v>
      </c>
      <c r="Z904" s="262" t="str">
        <f>CONCATENATE(P904,Q904,R904,S904,V904)</f>
        <v>O23011745992024020708016</v>
      </c>
      <c r="AA904" s="262" t="str">
        <f>IFERROR(VLOOKUP(Y904,TD!$K$47:$L$65,2,0)," ")</f>
        <v>PM/0131/0108/45990160207</v>
      </c>
      <c r="AB904" s="164" t="s">
        <v>138</v>
      </c>
      <c r="AC904" s="263" t="s">
        <v>205</v>
      </c>
    </row>
    <row r="905" spans="2:29" ht="56" x14ac:dyDescent="0.35">
      <c r="B905" s="132">
        <v>20250992</v>
      </c>
      <c r="C905" s="50" t="s">
        <v>208</v>
      </c>
      <c r="D905" s="246" t="s">
        <v>166</v>
      </c>
      <c r="E905" s="51" t="s">
        <v>558</v>
      </c>
      <c r="F905" s="260" t="s">
        <v>1164</v>
      </c>
      <c r="G905" s="260" t="s">
        <v>155</v>
      </c>
      <c r="H905" s="161" t="s">
        <v>606</v>
      </c>
      <c r="I905" s="261">
        <v>10</v>
      </c>
      <c r="J905" s="261">
        <v>0</v>
      </c>
      <c r="K905" s="162">
        <v>4</v>
      </c>
      <c r="L905" s="164">
        <v>1236779</v>
      </c>
      <c r="M905" s="163" t="s">
        <v>464</v>
      </c>
      <c r="N905" s="164" t="s">
        <v>607</v>
      </c>
      <c r="O905" s="51" t="s">
        <v>218</v>
      </c>
      <c r="P905" s="262" t="str">
        <f>IFERROR(VLOOKUP(C905,TD!$B$33:$F$37,2,0)," ")</f>
        <v>O230117</v>
      </c>
      <c r="Q905" s="262" t="str">
        <f>IFERROR(VLOOKUP(C905,TD!$B$33:$F$37,3,0)," ")</f>
        <v>4599</v>
      </c>
      <c r="R905" s="262">
        <f>IFERROR(VLOOKUP(C905,TD!$B$33:$F$37,4,0)," ")</f>
        <v>20240207</v>
      </c>
      <c r="S905" s="51" t="s">
        <v>185</v>
      </c>
      <c r="T905" s="248" t="str">
        <f>IFERROR(VLOOKUP(S905,TD!$J$34:$K$44,2,0)," ")</f>
        <v>Infraestructura física, mantenimiento y dotación (Sedes construidas, mantenidas reforzadas)</v>
      </c>
      <c r="U905" s="249" t="str">
        <f>CONCATENATE(S905,"-",T905)</f>
        <v>08-Infraestructura física, mantenimiento y dotación (Sedes construidas, mantenidas reforzadas)</v>
      </c>
      <c r="V905" s="51" t="s">
        <v>238</v>
      </c>
      <c r="W905" s="248" t="str">
        <f>IFERROR(VLOOKUP(V905,TD!$N$34:$O$46,2,0)," ")</f>
        <v>Sedes mantenidas</v>
      </c>
      <c r="X905" s="249" t="str">
        <f>CONCATENATE(V905,"_",W905)</f>
        <v>016_Sedes mantenidas</v>
      </c>
      <c r="Y905" s="249" t="str">
        <f>CONCATENATE(U905," ",X905)</f>
        <v>08-Infraestructura física, mantenimiento y dotación (Sedes construidas, mantenidas reforzadas) 016_Sedes mantenidas</v>
      </c>
      <c r="Z905" s="262" t="str">
        <f>CONCATENATE(P905,Q905,R905,S905,V905)</f>
        <v>O23011745992024020708016</v>
      </c>
      <c r="AA905" s="262" t="str">
        <f>IFERROR(VLOOKUP(Y905,TD!$K$47:$L$65,2,0)," ")</f>
        <v>PM/0131/0108/45990160207</v>
      </c>
      <c r="AB905" s="164" t="s">
        <v>138</v>
      </c>
      <c r="AC905" s="263" t="s">
        <v>205</v>
      </c>
    </row>
    <row r="906" spans="2:29" ht="56" x14ac:dyDescent="0.35">
      <c r="B906" s="160">
        <v>20250993</v>
      </c>
      <c r="C906" s="50" t="s">
        <v>208</v>
      </c>
      <c r="D906" s="246" t="s">
        <v>166</v>
      </c>
      <c r="E906" s="51" t="s">
        <v>558</v>
      </c>
      <c r="F906" s="260" t="s">
        <v>1165</v>
      </c>
      <c r="G906" s="260" t="s">
        <v>155</v>
      </c>
      <c r="H906" s="161" t="s">
        <v>606</v>
      </c>
      <c r="I906" s="261">
        <v>10</v>
      </c>
      <c r="J906" s="261">
        <v>3</v>
      </c>
      <c r="K906" s="162">
        <v>12</v>
      </c>
      <c r="L906" s="164">
        <f>25068135-2949192</f>
        <v>22118943</v>
      </c>
      <c r="M906" s="163" t="s">
        <v>464</v>
      </c>
      <c r="N906" s="164" t="s">
        <v>607</v>
      </c>
      <c r="O906" s="51" t="s">
        <v>219</v>
      </c>
      <c r="P906" s="262" t="str">
        <f>IFERROR(VLOOKUP(C906,TD!$B$33:$F$37,2,0)," ")</f>
        <v>O230117</v>
      </c>
      <c r="Q906" s="262" t="str">
        <f>IFERROR(VLOOKUP(C906,TD!$B$33:$F$37,3,0)," ")</f>
        <v>4599</v>
      </c>
      <c r="R906" s="262">
        <f>IFERROR(VLOOKUP(C906,TD!$B$33:$F$37,4,0)," ")</f>
        <v>20240207</v>
      </c>
      <c r="S906" s="51" t="s">
        <v>185</v>
      </c>
      <c r="T906" s="248" t="str">
        <f>IFERROR(VLOOKUP(S906,TD!$J$34:$K$44,2,0)," ")</f>
        <v>Infraestructura física, mantenimiento y dotación (Sedes construidas, mantenidas reforzadas)</v>
      </c>
      <c r="U906" s="249" t="str">
        <f>CONCATENATE(S906,"-",T906)</f>
        <v>08-Infraestructura física, mantenimiento y dotación (Sedes construidas, mantenidas reforzadas)</v>
      </c>
      <c r="V906" s="51" t="s">
        <v>238</v>
      </c>
      <c r="W906" s="248" t="str">
        <f>IFERROR(VLOOKUP(V906,TD!$N$34:$O$46,2,0)," ")</f>
        <v>Sedes mantenidas</v>
      </c>
      <c r="X906" s="249" t="str">
        <f>CONCATENATE(V906,"_",W906)</f>
        <v>016_Sedes mantenidas</v>
      </c>
      <c r="Y906" s="249" t="str">
        <f>CONCATENATE(U906," ",X906)</f>
        <v>08-Infraestructura física, mantenimiento y dotación (Sedes construidas, mantenidas reforzadas) 016_Sedes mantenidas</v>
      </c>
      <c r="Z906" s="262" t="str">
        <f>CONCATENATE(P906,Q906,R906,S906,V906)</f>
        <v>O23011745992024020708016</v>
      </c>
      <c r="AA906" s="262" t="str">
        <f>IFERROR(VLOOKUP(Y906,TD!$K$47:$L$65,2,0)," ")</f>
        <v>PM/0131/0108/45990160207</v>
      </c>
      <c r="AB906" s="164" t="s">
        <v>120</v>
      </c>
      <c r="AC906" s="263" t="s">
        <v>205</v>
      </c>
    </row>
    <row r="907" spans="2:29" ht="56" x14ac:dyDescent="0.35">
      <c r="B907" s="166">
        <v>20250994</v>
      </c>
      <c r="C907" s="50" t="s">
        <v>208</v>
      </c>
      <c r="D907" s="246" t="s">
        <v>166</v>
      </c>
      <c r="E907" s="51" t="s">
        <v>558</v>
      </c>
      <c r="F907" s="260" t="s">
        <v>1166</v>
      </c>
      <c r="G907" s="260" t="s">
        <v>155</v>
      </c>
      <c r="H907" s="161" t="s">
        <v>606</v>
      </c>
      <c r="I907" s="261">
        <v>10</v>
      </c>
      <c r="J907" s="261">
        <v>1</v>
      </c>
      <c r="K907" s="162">
        <v>20</v>
      </c>
      <c r="L907" s="164">
        <v>15459733</v>
      </c>
      <c r="M907" s="163" t="s">
        <v>464</v>
      </c>
      <c r="N907" s="164" t="s">
        <v>607</v>
      </c>
      <c r="O907" s="51" t="s">
        <v>219</v>
      </c>
      <c r="P907" s="262" t="str">
        <f>IFERROR(VLOOKUP(C907,TD!$B$33:$F$37,2,0)," ")</f>
        <v>O230117</v>
      </c>
      <c r="Q907" s="262" t="str">
        <f>IFERROR(VLOOKUP(C907,TD!$B$33:$F$37,3,0)," ")</f>
        <v>4599</v>
      </c>
      <c r="R907" s="262">
        <f>IFERROR(VLOOKUP(C907,TD!$B$33:$F$37,4,0)," ")</f>
        <v>20240207</v>
      </c>
      <c r="S907" s="51" t="s">
        <v>185</v>
      </c>
      <c r="T907" s="248" t="str">
        <f>IFERROR(VLOOKUP(S907,TD!$J$34:$K$44,2,0)," ")</f>
        <v>Infraestructura física, mantenimiento y dotación (Sedes construidas, mantenidas reforzadas)</v>
      </c>
      <c r="U907" s="249" t="str">
        <f>CONCATENATE(S907,"-",T907)</f>
        <v>08-Infraestructura física, mantenimiento y dotación (Sedes construidas, mantenidas reforzadas)</v>
      </c>
      <c r="V907" s="51" t="s">
        <v>238</v>
      </c>
      <c r="W907" s="248" t="str">
        <f>IFERROR(VLOOKUP(V907,TD!$N$34:$O$46,2,0)," ")</f>
        <v>Sedes mantenidas</v>
      </c>
      <c r="X907" s="249" t="str">
        <f>CONCATENATE(V907,"_",W907)</f>
        <v>016_Sedes mantenidas</v>
      </c>
      <c r="Y907" s="249" t="str">
        <f>CONCATENATE(U907," ",X907)</f>
        <v>08-Infraestructura física, mantenimiento y dotación (Sedes construidas, mantenidas reforzadas) 016_Sedes mantenidas</v>
      </c>
      <c r="Z907" s="262" t="str">
        <f>CONCATENATE(P907,Q907,R907,S907,V907)</f>
        <v>O23011745992024020708016</v>
      </c>
      <c r="AA907" s="262" t="str">
        <f>IFERROR(VLOOKUP(Y907,TD!$K$47:$L$65,2,0)," ")</f>
        <v>PM/0131/0108/45990160207</v>
      </c>
      <c r="AB907" s="164" t="s">
        <v>138</v>
      </c>
      <c r="AC907" s="263" t="s">
        <v>205</v>
      </c>
    </row>
    <row r="908" spans="2:29" ht="56" x14ac:dyDescent="0.35">
      <c r="B908" s="166">
        <v>20250995</v>
      </c>
      <c r="C908" s="50" t="s">
        <v>208</v>
      </c>
      <c r="D908" s="246" t="s">
        <v>166</v>
      </c>
      <c r="E908" s="51" t="s">
        <v>558</v>
      </c>
      <c r="F908" s="260" t="s">
        <v>1167</v>
      </c>
      <c r="G908" s="260" t="s">
        <v>155</v>
      </c>
      <c r="H908" s="161" t="s">
        <v>606</v>
      </c>
      <c r="I908" s="261">
        <v>10</v>
      </c>
      <c r="J908" s="261">
        <v>1</v>
      </c>
      <c r="K908" s="162">
        <v>0</v>
      </c>
      <c r="L908" s="164">
        <v>9275840</v>
      </c>
      <c r="M908" s="163" t="s">
        <v>464</v>
      </c>
      <c r="N908" s="164" t="s">
        <v>607</v>
      </c>
      <c r="O908" s="51" t="s">
        <v>219</v>
      </c>
      <c r="P908" s="262" t="str">
        <f>IFERROR(VLOOKUP(C908,TD!$B$33:$F$37,2,0)," ")</f>
        <v>O230117</v>
      </c>
      <c r="Q908" s="262" t="str">
        <f>IFERROR(VLOOKUP(C908,TD!$B$33:$F$37,3,0)," ")</f>
        <v>4599</v>
      </c>
      <c r="R908" s="262">
        <f>IFERROR(VLOOKUP(C908,TD!$B$33:$F$37,4,0)," ")</f>
        <v>20240207</v>
      </c>
      <c r="S908" s="51" t="s">
        <v>185</v>
      </c>
      <c r="T908" s="248" t="str">
        <f>IFERROR(VLOOKUP(S908,TD!$J$34:$K$44,2,0)," ")</f>
        <v>Infraestructura física, mantenimiento y dotación (Sedes construidas, mantenidas reforzadas)</v>
      </c>
      <c r="U908" s="249" t="str">
        <f>CONCATENATE(S908,"-",T908)</f>
        <v>08-Infraestructura física, mantenimiento y dotación (Sedes construidas, mantenidas reforzadas)</v>
      </c>
      <c r="V908" s="51" t="s">
        <v>238</v>
      </c>
      <c r="W908" s="248" t="str">
        <f>IFERROR(VLOOKUP(V908,TD!$N$34:$O$46,2,0)," ")</f>
        <v>Sedes mantenidas</v>
      </c>
      <c r="X908" s="249" t="str">
        <f>CONCATENATE(V908,"_",W908)</f>
        <v>016_Sedes mantenidas</v>
      </c>
      <c r="Y908" s="249" t="str">
        <f>CONCATENATE(U908," ",X908)</f>
        <v>08-Infraestructura física, mantenimiento y dotación (Sedes construidas, mantenidas reforzadas) 016_Sedes mantenidas</v>
      </c>
      <c r="Z908" s="262" t="str">
        <f>CONCATENATE(P908,Q908,R908,S908,V908)</f>
        <v>O23011745992024020708016</v>
      </c>
      <c r="AA908" s="262" t="str">
        <f>IFERROR(VLOOKUP(Y908,TD!$K$47:$L$65,2,0)," ")</f>
        <v>PM/0131/0108/45990160207</v>
      </c>
      <c r="AB908" s="164" t="s">
        <v>120</v>
      </c>
      <c r="AC908" s="263" t="s">
        <v>205</v>
      </c>
    </row>
    <row r="909" spans="2:29" ht="56" x14ac:dyDescent="0.35">
      <c r="B909" s="166">
        <v>20250996</v>
      </c>
      <c r="C909" s="50" t="s">
        <v>208</v>
      </c>
      <c r="D909" s="246" t="s">
        <v>166</v>
      </c>
      <c r="E909" s="51" t="s">
        <v>558</v>
      </c>
      <c r="F909" s="260" t="s">
        <v>1168</v>
      </c>
      <c r="G909" s="260" t="s">
        <v>156</v>
      </c>
      <c r="H909" s="161" t="s">
        <v>606</v>
      </c>
      <c r="I909" s="261">
        <v>10</v>
      </c>
      <c r="J909" s="261">
        <v>1</v>
      </c>
      <c r="K909" s="162">
        <v>3</v>
      </c>
      <c r="L909" s="164">
        <v>3612761</v>
      </c>
      <c r="M909" s="163" t="s">
        <v>464</v>
      </c>
      <c r="N909" s="164" t="s">
        <v>607</v>
      </c>
      <c r="O909" s="51" t="s">
        <v>219</v>
      </c>
      <c r="P909" s="262" t="str">
        <f>IFERROR(VLOOKUP(C909,TD!$B$33:$F$37,2,0)," ")</f>
        <v>O230117</v>
      </c>
      <c r="Q909" s="262" t="str">
        <f>IFERROR(VLOOKUP(C909,TD!$B$33:$F$37,3,0)," ")</f>
        <v>4599</v>
      </c>
      <c r="R909" s="262">
        <f>IFERROR(VLOOKUP(C909,TD!$B$33:$F$37,4,0)," ")</f>
        <v>20240207</v>
      </c>
      <c r="S909" s="51" t="s">
        <v>185</v>
      </c>
      <c r="T909" s="248" t="str">
        <f>IFERROR(VLOOKUP(S909,TD!$J$34:$K$44,2,0)," ")</f>
        <v>Infraestructura física, mantenimiento y dotación (Sedes construidas, mantenidas reforzadas)</v>
      </c>
      <c r="U909" s="249" t="str">
        <f>CONCATENATE(S909,"-",T909)</f>
        <v>08-Infraestructura física, mantenimiento y dotación (Sedes construidas, mantenidas reforzadas)</v>
      </c>
      <c r="V909" s="51" t="s">
        <v>238</v>
      </c>
      <c r="W909" s="248" t="str">
        <f>IFERROR(VLOOKUP(V909,TD!$N$34:$O$46,2,0)," ")</f>
        <v>Sedes mantenidas</v>
      </c>
      <c r="X909" s="249" t="str">
        <f>CONCATENATE(V909,"_",W909)</f>
        <v>016_Sedes mantenidas</v>
      </c>
      <c r="Y909" s="249" t="str">
        <f>CONCATENATE(U909," ",X909)</f>
        <v>08-Infraestructura física, mantenimiento y dotación (Sedes construidas, mantenidas reforzadas) 016_Sedes mantenidas</v>
      </c>
      <c r="Z909" s="262" t="str">
        <f>CONCATENATE(P909,Q909,R909,S909,V909)</f>
        <v>O23011745992024020708016</v>
      </c>
      <c r="AA909" s="262" t="str">
        <f>IFERROR(VLOOKUP(Y909,TD!$K$47:$L$65,2,0)," ")</f>
        <v>PM/0131/0108/45990160207</v>
      </c>
      <c r="AB909" s="164" t="s">
        <v>138</v>
      </c>
      <c r="AC909" s="263" t="s">
        <v>205</v>
      </c>
    </row>
    <row r="910" spans="2:29" ht="56" x14ac:dyDescent="0.35">
      <c r="B910" s="166">
        <v>20250997</v>
      </c>
      <c r="C910" s="50" t="s">
        <v>208</v>
      </c>
      <c r="D910" s="246" t="s">
        <v>166</v>
      </c>
      <c r="E910" s="51" t="s">
        <v>558</v>
      </c>
      <c r="F910" s="260" t="s">
        <v>1169</v>
      </c>
      <c r="G910" s="260" t="s">
        <v>156</v>
      </c>
      <c r="H910" s="161" t="s">
        <v>606</v>
      </c>
      <c r="I910" s="261">
        <v>10</v>
      </c>
      <c r="J910" s="261">
        <v>0</v>
      </c>
      <c r="K910" s="162">
        <v>8</v>
      </c>
      <c r="L910" s="164">
        <v>1143929</v>
      </c>
      <c r="M910" s="163" t="s">
        <v>464</v>
      </c>
      <c r="N910" s="164" t="s">
        <v>607</v>
      </c>
      <c r="O910" s="51" t="s">
        <v>219</v>
      </c>
      <c r="P910" s="262" t="str">
        <f>IFERROR(VLOOKUP(C910,TD!$B$33:$F$37,2,0)," ")</f>
        <v>O230117</v>
      </c>
      <c r="Q910" s="262" t="str">
        <f>IFERROR(VLOOKUP(C910,TD!$B$33:$F$37,3,0)," ")</f>
        <v>4599</v>
      </c>
      <c r="R910" s="262">
        <f>IFERROR(VLOOKUP(C910,TD!$B$33:$F$37,4,0)," ")</f>
        <v>20240207</v>
      </c>
      <c r="S910" s="51" t="s">
        <v>185</v>
      </c>
      <c r="T910" s="248" t="str">
        <f>IFERROR(VLOOKUP(S910,TD!$J$34:$K$44,2,0)," ")</f>
        <v>Infraestructura física, mantenimiento y dotación (Sedes construidas, mantenidas reforzadas)</v>
      </c>
      <c r="U910" s="249" t="str">
        <f>CONCATENATE(S910,"-",T910)</f>
        <v>08-Infraestructura física, mantenimiento y dotación (Sedes construidas, mantenidas reforzadas)</v>
      </c>
      <c r="V910" s="51" t="s">
        <v>238</v>
      </c>
      <c r="W910" s="248" t="str">
        <f>IFERROR(VLOOKUP(V910,TD!$N$34:$O$46,2,0)," ")</f>
        <v>Sedes mantenidas</v>
      </c>
      <c r="X910" s="249" t="str">
        <f>CONCATENATE(V910,"_",W910)</f>
        <v>016_Sedes mantenidas</v>
      </c>
      <c r="Y910" s="249" t="str">
        <f>CONCATENATE(U910," ",X910)</f>
        <v>08-Infraestructura física, mantenimiento y dotación (Sedes construidas, mantenidas reforzadas) 016_Sedes mantenidas</v>
      </c>
      <c r="Z910" s="262" t="str">
        <f>CONCATENATE(P910,Q910,R910,S910,V910)</f>
        <v>O23011745992024020708016</v>
      </c>
      <c r="AA910" s="262" t="str">
        <f>IFERROR(VLOOKUP(Y910,TD!$K$47:$L$65,2,0)," ")</f>
        <v>PM/0131/0108/45990160207</v>
      </c>
      <c r="AB910" s="164" t="s">
        <v>138</v>
      </c>
      <c r="AC910" s="263" t="s">
        <v>205</v>
      </c>
    </row>
    <row r="911" spans="2:29" ht="56" x14ac:dyDescent="0.35">
      <c r="B911" s="132">
        <v>20250998</v>
      </c>
      <c r="C911" s="50" t="s">
        <v>208</v>
      </c>
      <c r="D911" s="246" t="s">
        <v>166</v>
      </c>
      <c r="E911" s="51" t="s">
        <v>558</v>
      </c>
      <c r="F911" s="260" t="s">
        <v>1170</v>
      </c>
      <c r="G911" s="260" t="s">
        <v>155</v>
      </c>
      <c r="H911" s="161" t="s">
        <v>606</v>
      </c>
      <c r="I911" s="261">
        <v>10</v>
      </c>
      <c r="J911" s="261">
        <v>0</v>
      </c>
      <c r="K911" s="162">
        <v>8</v>
      </c>
      <c r="L911" s="164">
        <v>1376290</v>
      </c>
      <c r="M911" s="163" t="s">
        <v>464</v>
      </c>
      <c r="N911" s="164" t="s">
        <v>607</v>
      </c>
      <c r="O911" s="51" t="s">
        <v>219</v>
      </c>
      <c r="P911" s="262" t="str">
        <f>IFERROR(VLOOKUP(C911,TD!$B$33:$F$37,2,0)," ")</f>
        <v>O230117</v>
      </c>
      <c r="Q911" s="262" t="str">
        <f>IFERROR(VLOOKUP(C911,TD!$B$33:$F$37,3,0)," ")</f>
        <v>4599</v>
      </c>
      <c r="R911" s="262">
        <f>IFERROR(VLOOKUP(C911,TD!$B$33:$F$37,4,0)," ")</f>
        <v>20240207</v>
      </c>
      <c r="S911" s="51" t="s">
        <v>185</v>
      </c>
      <c r="T911" s="248" t="str">
        <f>IFERROR(VLOOKUP(S911,TD!$J$34:$K$44,2,0)," ")</f>
        <v>Infraestructura física, mantenimiento y dotación (Sedes construidas, mantenidas reforzadas)</v>
      </c>
      <c r="U911" s="249" t="str">
        <f>CONCATENATE(S911,"-",T911)</f>
        <v>08-Infraestructura física, mantenimiento y dotación (Sedes construidas, mantenidas reforzadas)</v>
      </c>
      <c r="V911" s="51" t="s">
        <v>238</v>
      </c>
      <c r="W911" s="248" t="str">
        <f>IFERROR(VLOOKUP(V911,TD!$N$34:$O$46,2,0)," ")</f>
        <v>Sedes mantenidas</v>
      </c>
      <c r="X911" s="249" t="str">
        <f>CONCATENATE(V911,"_",W911)</f>
        <v>016_Sedes mantenidas</v>
      </c>
      <c r="Y911" s="249" t="str">
        <f>CONCATENATE(U911," ",X911)</f>
        <v>08-Infraestructura física, mantenimiento y dotación (Sedes construidas, mantenidas reforzadas) 016_Sedes mantenidas</v>
      </c>
      <c r="Z911" s="262" t="str">
        <f>CONCATENATE(P911,Q911,R911,S911,V911)</f>
        <v>O23011745992024020708016</v>
      </c>
      <c r="AA911" s="262" t="str">
        <f>IFERROR(VLOOKUP(Y911,TD!$K$47:$L$65,2,0)," ")</f>
        <v>PM/0131/0108/45990160207</v>
      </c>
      <c r="AB911" s="164" t="s">
        <v>138</v>
      </c>
      <c r="AC911" s="263" t="s">
        <v>205</v>
      </c>
    </row>
    <row r="912" spans="2:29" ht="56" x14ac:dyDescent="0.35">
      <c r="B912" s="160">
        <v>20250999</v>
      </c>
      <c r="C912" s="50" t="s">
        <v>208</v>
      </c>
      <c r="D912" s="246" t="s">
        <v>166</v>
      </c>
      <c r="E912" s="51" t="s">
        <v>558</v>
      </c>
      <c r="F912" s="260" t="s">
        <v>1171</v>
      </c>
      <c r="G912" s="260" t="s">
        <v>156</v>
      </c>
      <c r="H912" s="161" t="s">
        <v>606</v>
      </c>
      <c r="I912" s="261">
        <v>10</v>
      </c>
      <c r="J912" s="261">
        <v>1</v>
      </c>
      <c r="K912" s="162">
        <v>3</v>
      </c>
      <c r="L912" s="164">
        <v>3096653</v>
      </c>
      <c r="M912" s="163" t="s">
        <v>464</v>
      </c>
      <c r="N912" s="164" t="s">
        <v>607</v>
      </c>
      <c r="O912" s="51" t="s">
        <v>219</v>
      </c>
      <c r="P912" s="262" t="str">
        <f>IFERROR(VLOOKUP(C912,TD!$B$33:$F$37,2,0)," ")</f>
        <v>O230117</v>
      </c>
      <c r="Q912" s="262" t="str">
        <f>IFERROR(VLOOKUP(C912,TD!$B$33:$F$37,3,0)," ")</f>
        <v>4599</v>
      </c>
      <c r="R912" s="262">
        <f>IFERROR(VLOOKUP(C912,TD!$B$33:$F$37,4,0)," ")</f>
        <v>20240207</v>
      </c>
      <c r="S912" s="51" t="s">
        <v>185</v>
      </c>
      <c r="T912" s="248" t="str">
        <f>IFERROR(VLOOKUP(S912,TD!$J$34:$K$44,2,0)," ")</f>
        <v>Infraestructura física, mantenimiento y dotación (Sedes construidas, mantenidas reforzadas)</v>
      </c>
      <c r="U912" s="249" t="str">
        <f>CONCATENATE(S912,"-",T912)</f>
        <v>08-Infraestructura física, mantenimiento y dotación (Sedes construidas, mantenidas reforzadas)</v>
      </c>
      <c r="V912" s="51" t="s">
        <v>238</v>
      </c>
      <c r="W912" s="248" t="str">
        <f>IFERROR(VLOOKUP(V912,TD!$N$34:$O$46,2,0)," ")</f>
        <v>Sedes mantenidas</v>
      </c>
      <c r="X912" s="249" t="str">
        <f>CONCATENATE(V912,"_",W912)</f>
        <v>016_Sedes mantenidas</v>
      </c>
      <c r="Y912" s="249" t="str">
        <f>CONCATENATE(U912," ",X912)</f>
        <v>08-Infraestructura física, mantenimiento y dotación (Sedes construidas, mantenidas reforzadas) 016_Sedes mantenidas</v>
      </c>
      <c r="Z912" s="262" t="str">
        <f>CONCATENATE(P912,Q912,R912,S912,V912)</f>
        <v>O23011745992024020708016</v>
      </c>
      <c r="AA912" s="262" t="str">
        <f>IFERROR(VLOOKUP(Y912,TD!$K$47:$L$65,2,0)," ")</f>
        <v>PM/0131/0108/45990160207</v>
      </c>
      <c r="AB912" s="164" t="s">
        <v>138</v>
      </c>
      <c r="AC912" s="263" t="s">
        <v>205</v>
      </c>
    </row>
    <row r="913" spans="2:29" ht="56" x14ac:dyDescent="0.35">
      <c r="B913" s="166">
        <v>20251000</v>
      </c>
      <c r="C913" s="50" t="s">
        <v>208</v>
      </c>
      <c r="D913" s="246" t="s">
        <v>166</v>
      </c>
      <c r="E913" s="51" t="s">
        <v>558</v>
      </c>
      <c r="F913" s="260" t="s">
        <v>1172</v>
      </c>
      <c r="G913" s="260" t="s">
        <v>156</v>
      </c>
      <c r="H913" s="161" t="s">
        <v>606</v>
      </c>
      <c r="I913" s="261">
        <v>10</v>
      </c>
      <c r="J913" s="261">
        <v>1</v>
      </c>
      <c r="K913" s="162">
        <v>6</v>
      </c>
      <c r="L913" s="164">
        <v>4584654</v>
      </c>
      <c r="M913" s="163" t="s">
        <v>464</v>
      </c>
      <c r="N913" s="164" t="s">
        <v>607</v>
      </c>
      <c r="O913" s="51" t="s">
        <v>219</v>
      </c>
      <c r="P913" s="262" t="str">
        <f>IFERROR(VLOOKUP(C913,TD!$B$33:$F$37,2,0)," ")</f>
        <v>O230117</v>
      </c>
      <c r="Q913" s="262" t="str">
        <f>IFERROR(VLOOKUP(C913,TD!$B$33:$F$37,3,0)," ")</f>
        <v>4599</v>
      </c>
      <c r="R913" s="262">
        <f>IFERROR(VLOOKUP(C913,TD!$B$33:$F$37,4,0)," ")</f>
        <v>20240207</v>
      </c>
      <c r="S913" s="51" t="s">
        <v>185</v>
      </c>
      <c r="T913" s="248" t="str">
        <f>IFERROR(VLOOKUP(S913,TD!$J$34:$K$44,2,0)," ")</f>
        <v>Infraestructura física, mantenimiento y dotación (Sedes construidas, mantenidas reforzadas)</v>
      </c>
      <c r="U913" s="249" t="str">
        <f>CONCATENATE(S913,"-",T913)</f>
        <v>08-Infraestructura física, mantenimiento y dotación (Sedes construidas, mantenidas reforzadas)</v>
      </c>
      <c r="V913" s="51" t="s">
        <v>238</v>
      </c>
      <c r="W913" s="248" t="str">
        <f>IFERROR(VLOOKUP(V913,TD!$N$34:$O$46,2,0)," ")</f>
        <v>Sedes mantenidas</v>
      </c>
      <c r="X913" s="249" t="str">
        <f>CONCATENATE(V913,"_",W913)</f>
        <v>016_Sedes mantenidas</v>
      </c>
      <c r="Y913" s="249" t="str">
        <f>CONCATENATE(U913," ",X913)</f>
        <v>08-Infraestructura física, mantenimiento y dotación (Sedes construidas, mantenidas reforzadas) 016_Sedes mantenidas</v>
      </c>
      <c r="Z913" s="262" t="str">
        <f>CONCATENATE(P913,Q913,R913,S913,V913)</f>
        <v>O23011745992024020708016</v>
      </c>
      <c r="AA913" s="262" t="str">
        <f>IFERROR(VLOOKUP(Y913,TD!$K$47:$L$65,2,0)," ")</f>
        <v>PM/0131/0108/45990160207</v>
      </c>
      <c r="AB913" s="164" t="s">
        <v>138</v>
      </c>
      <c r="AC913" s="263" t="s">
        <v>205</v>
      </c>
    </row>
    <row r="914" spans="2:29" ht="84" x14ac:dyDescent="0.35">
      <c r="B914" s="166">
        <v>20251001</v>
      </c>
      <c r="C914" s="50" t="s">
        <v>208</v>
      </c>
      <c r="D914" s="246" t="s">
        <v>166</v>
      </c>
      <c r="E914" s="51" t="s">
        <v>558</v>
      </c>
      <c r="F914" s="260" t="s">
        <v>1173</v>
      </c>
      <c r="G914" s="260" t="s">
        <v>156</v>
      </c>
      <c r="H914" s="161" t="s">
        <v>606</v>
      </c>
      <c r="I914" s="261">
        <v>10</v>
      </c>
      <c r="J914" s="261">
        <v>0</v>
      </c>
      <c r="K914" s="162">
        <v>12</v>
      </c>
      <c r="L914" s="164">
        <v>1715894</v>
      </c>
      <c r="M914" s="163" t="s">
        <v>464</v>
      </c>
      <c r="N914" s="164" t="s">
        <v>607</v>
      </c>
      <c r="O914" s="51" t="s">
        <v>219</v>
      </c>
      <c r="P914" s="262" t="str">
        <f>IFERROR(VLOOKUP(C914,TD!$B$33:$F$37,2,0)," ")</f>
        <v>O230117</v>
      </c>
      <c r="Q914" s="262" t="str">
        <f>IFERROR(VLOOKUP(C914,TD!$B$33:$F$37,3,0)," ")</f>
        <v>4599</v>
      </c>
      <c r="R914" s="262">
        <f>IFERROR(VLOOKUP(C914,TD!$B$33:$F$37,4,0)," ")</f>
        <v>20240207</v>
      </c>
      <c r="S914" s="51" t="s">
        <v>185</v>
      </c>
      <c r="T914" s="248" t="str">
        <f>IFERROR(VLOOKUP(S914,TD!$J$34:$K$44,2,0)," ")</f>
        <v>Infraestructura física, mantenimiento y dotación (Sedes construidas, mantenidas reforzadas)</v>
      </c>
      <c r="U914" s="249" t="str">
        <f>CONCATENATE(S914,"-",T914)</f>
        <v>08-Infraestructura física, mantenimiento y dotación (Sedes construidas, mantenidas reforzadas)</v>
      </c>
      <c r="V914" s="51" t="s">
        <v>238</v>
      </c>
      <c r="W914" s="248" t="str">
        <f>IFERROR(VLOOKUP(V914,TD!$N$34:$O$46,2,0)," ")</f>
        <v>Sedes mantenidas</v>
      </c>
      <c r="X914" s="249" t="str">
        <f>CONCATENATE(V914,"_",W914)</f>
        <v>016_Sedes mantenidas</v>
      </c>
      <c r="Y914" s="249" t="str">
        <f>CONCATENATE(U914," ",X914)</f>
        <v>08-Infraestructura física, mantenimiento y dotación (Sedes construidas, mantenidas reforzadas) 016_Sedes mantenidas</v>
      </c>
      <c r="Z914" s="262" t="str">
        <f>CONCATENATE(P914,Q914,R914,S914,V914)</f>
        <v>O23011745992024020708016</v>
      </c>
      <c r="AA914" s="262" t="str">
        <f>IFERROR(VLOOKUP(Y914,TD!$K$47:$L$65,2,0)," ")</f>
        <v>PM/0131/0108/45990160207</v>
      </c>
      <c r="AB914" s="164" t="s">
        <v>138</v>
      </c>
      <c r="AC914" s="263" t="s">
        <v>205</v>
      </c>
    </row>
    <row r="915" spans="2:29" ht="84" x14ac:dyDescent="0.35">
      <c r="B915" s="166">
        <v>20251002</v>
      </c>
      <c r="C915" s="50" t="s">
        <v>208</v>
      </c>
      <c r="D915" s="246" t="s">
        <v>166</v>
      </c>
      <c r="E915" s="51" t="s">
        <v>558</v>
      </c>
      <c r="F915" s="260" t="s">
        <v>1174</v>
      </c>
      <c r="G915" s="260" t="s">
        <v>156</v>
      </c>
      <c r="H915" s="161" t="s">
        <v>606</v>
      </c>
      <c r="I915" s="261">
        <v>10</v>
      </c>
      <c r="J915" s="261">
        <v>1</v>
      </c>
      <c r="K915" s="162">
        <v>26</v>
      </c>
      <c r="L915" s="164">
        <v>6130746</v>
      </c>
      <c r="M915" s="163" t="s">
        <v>464</v>
      </c>
      <c r="N915" s="164" t="s">
        <v>113</v>
      </c>
      <c r="O915" s="51" t="s">
        <v>219</v>
      </c>
      <c r="P915" s="262" t="str">
        <f>IFERROR(VLOOKUP(C915,TD!$B$33:$F$37,2,0)," ")</f>
        <v>O230117</v>
      </c>
      <c r="Q915" s="262" t="str">
        <f>IFERROR(VLOOKUP(C915,TD!$B$33:$F$37,3,0)," ")</f>
        <v>4599</v>
      </c>
      <c r="R915" s="262">
        <f>IFERROR(VLOOKUP(C915,TD!$B$33:$F$37,4,0)," ")</f>
        <v>20240207</v>
      </c>
      <c r="S915" s="51" t="s">
        <v>185</v>
      </c>
      <c r="T915" s="248" t="str">
        <f>IFERROR(VLOOKUP(S915,TD!$J$34:$K$44,2,0)," ")</f>
        <v>Infraestructura física, mantenimiento y dotación (Sedes construidas, mantenidas reforzadas)</v>
      </c>
      <c r="U915" s="249" t="str">
        <f>CONCATENATE(S915,"-",T915)</f>
        <v>08-Infraestructura física, mantenimiento y dotación (Sedes construidas, mantenidas reforzadas)</v>
      </c>
      <c r="V915" s="51" t="s">
        <v>238</v>
      </c>
      <c r="W915" s="248" t="str">
        <f>IFERROR(VLOOKUP(V915,TD!$N$34:$O$46,2,0)," ")</f>
        <v>Sedes mantenidas</v>
      </c>
      <c r="X915" s="249" t="str">
        <f>CONCATENATE(V915,"_",W915)</f>
        <v>016_Sedes mantenidas</v>
      </c>
      <c r="Y915" s="249" t="str">
        <f>CONCATENATE(U915," ",X915)</f>
        <v>08-Infraestructura física, mantenimiento y dotación (Sedes construidas, mantenidas reforzadas) 016_Sedes mantenidas</v>
      </c>
      <c r="Z915" s="262" t="str">
        <f>CONCATENATE(P915,Q915,R915,S915,V915)</f>
        <v>O23011745992024020708016</v>
      </c>
      <c r="AA915" s="262" t="str">
        <f>IFERROR(VLOOKUP(Y915,TD!$K$47:$L$65,2,0)," ")</f>
        <v>PM/0131/0108/45990160207</v>
      </c>
      <c r="AB915" s="164" t="s">
        <v>138</v>
      </c>
      <c r="AC915" s="263" t="s">
        <v>205</v>
      </c>
    </row>
    <row r="916" spans="2:29" ht="84" x14ac:dyDescent="0.35">
      <c r="B916" s="160">
        <v>20251003</v>
      </c>
      <c r="C916" s="50" t="s">
        <v>208</v>
      </c>
      <c r="D916" s="246" t="s">
        <v>166</v>
      </c>
      <c r="E916" s="51" t="s">
        <v>558</v>
      </c>
      <c r="F916" s="260" t="s">
        <v>1175</v>
      </c>
      <c r="G916" s="260" t="s">
        <v>156</v>
      </c>
      <c r="H916" s="161" t="s">
        <v>606</v>
      </c>
      <c r="I916" s="261">
        <v>10</v>
      </c>
      <c r="J916" s="261">
        <v>0</v>
      </c>
      <c r="K916" s="162">
        <v>5</v>
      </c>
      <c r="L916" s="164">
        <v>547388</v>
      </c>
      <c r="M916" s="163" t="s">
        <v>464</v>
      </c>
      <c r="N916" s="164" t="s">
        <v>113</v>
      </c>
      <c r="O916" s="51" t="s">
        <v>219</v>
      </c>
      <c r="P916" s="262" t="str">
        <f>IFERROR(VLOOKUP(C916,TD!$B$33:$F$37,2,0)," ")</f>
        <v>O230117</v>
      </c>
      <c r="Q916" s="262" t="str">
        <f>IFERROR(VLOOKUP(C916,TD!$B$33:$F$37,3,0)," ")</f>
        <v>4599</v>
      </c>
      <c r="R916" s="262">
        <f>IFERROR(VLOOKUP(C916,TD!$B$33:$F$37,4,0)," ")</f>
        <v>20240207</v>
      </c>
      <c r="S916" s="51" t="s">
        <v>185</v>
      </c>
      <c r="T916" s="248" t="str">
        <f>IFERROR(VLOOKUP(S916,TD!$J$34:$K$44,2,0)," ")</f>
        <v>Infraestructura física, mantenimiento y dotación (Sedes construidas, mantenidas reforzadas)</v>
      </c>
      <c r="U916" s="249" t="str">
        <f>CONCATENATE(S916,"-",T916)</f>
        <v>08-Infraestructura física, mantenimiento y dotación (Sedes construidas, mantenidas reforzadas)</v>
      </c>
      <c r="V916" s="51" t="s">
        <v>238</v>
      </c>
      <c r="W916" s="248" t="str">
        <f>IFERROR(VLOOKUP(V916,TD!$N$34:$O$46,2,0)," ")</f>
        <v>Sedes mantenidas</v>
      </c>
      <c r="X916" s="249" t="str">
        <f>CONCATENATE(V916,"_",W916)</f>
        <v>016_Sedes mantenidas</v>
      </c>
      <c r="Y916" s="249" t="str">
        <f>CONCATENATE(U916," ",X916)</f>
        <v>08-Infraestructura física, mantenimiento y dotación (Sedes construidas, mantenidas reforzadas) 016_Sedes mantenidas</v>
      </c>
      <c r="Z916" s="262" t="str">
        <f>CONCATENATE(P916,Q916,R916,S916,V916)</f>
        <v>O23011745992024020708016</v>
      </c>
      <c r="AA916" s="262" t="str">
        <f>IFERROR(VLOOKUP(Y916,TD!$K$47:$L$65,2,0)," ")</f>
        <v>PM/0131/0108/45990160207</v>
      </c>
      <c r="AB916" s="164" t="s">
        <v>138</v>
      </c>
      <c r="AC916" s="263" t="s">
        <v>205</v>
      </c>
    </row>
    <row r="917" spans="2:29" ht="56" x14ac:dyDescent="0.35">
      <c r="B917" s="132">
        <v>20251004</v>
      </c>
      <c r="C917" s="50" t="s">
        <v>208</v>
      </c>
      <c r="D917" s="246" t="s">
        <v>166</v>
      </c>
      <c r="E917" s="51" t="s">
        <v>558</v>
      </c>
      <c r="F917" s="260" t="s">
        <v>1176</v>
      </c>
      <c r="G917" s="260" t="s">
        <v>156</v>
      </c>
      <c r="H917" s="161" t="s">
        <v>606</v>
      </c>
      <c r="I917" s="261">
        <v>10</v>
      </c>
      <c r="J917" s="261">
        <v>0</v>
      </c>
      <c r="K917" s="162">
        <v>5</v>
      </c>
      <c r="L917" s="164">
        <v>547388</v>
      </c>
      <c r="M917" s="163" t="s">
        <v>464</v>
      </c>
      <c r="N917" s="164" t="s">
        <v>113</v>
      </c>
      <c r="O917" s="51" t="s">
        <v>219</v>
      </c>
      <c r="P917" s="262" t="str">
        <f>IFERROR(VLOOKUP(C917,TD!$B$33:$F$37,2,0)," ")</f>
        <v>O230117</v>
      </c>
      <c r="Q917" s="262" t="str">
        <f>IFERROR(VLOOKUP(C917,TD!$B$33:$F$37,3,0)," ")</f>
        <v>4599</v>
      </c>
      <c r="R917" s="262">
        <f>IFERROR(VLOOKUP(C917,TD!$B$33:$F$37,4,0)," ")</f>
        <v>20240207</v>
      </c>
      <c r="S917" s="51" t="s">
        <v>185</v>
      </c>
      <c r="T917" s="248" t="str">
        <f>IFERROR(VLOOKUP(S917,TD!$J$34:$K$44,2,0)," ")</f>
        <v>Infraestructura física, mantenimiento y dotación (Sedes construidas, mantenidas reforzadas)</v>
      </c>
      <c r="U917" s="249" t="str">
        <f>CONCATENATE(S917,"-",T917)</f>
        <v>08-Infraestructura física, mantenimiento y dotación (Sedes construidas, mantenidas reforzadas)</v>
      </c>
      <c r="V917" s="51" t="s">
        <v>238</v>
      </c>
      <c r="W917" s="248" t="str">
        <f>IFERROR(VLOOKUP(V917,TD!$N$34:$O$46,2,0)," ")</f>
        <v>Sedes mantenidas</v>
      </c>
      <c r="X917" s="249" t="str">
        <f>CONCATENATE(V917,"_",W917)</f>
        <v>016_Sedes mantenidas</v>
      </c>
      <c r="Y917" s="249" t="str">
        <f>CONCATENATE(U917," ",X917)</f>
        <v>08-Infraestructura física, mantenimiento y dotación (Sedes construidas, mantenidas reforzadas) 016_Sedes mantenidas</v>
      </c>
      <c r="Z917" s="262" t="str">
        <f>CONCATENATE(P917,Q917,R917,S917,V917)</f>
        <v>O23011745992024020708016</v>
      </c>
      <c r="AA917" s="262" t="str">
        <f>IFERROR(VLOOKUP(Y917,TD!$K$47:$L$65,2,0)," ")</f>
        <v>PM/0131/0108/45990160207</v>
      </c>
      <c r="AB917" s="164" t="s">
        <v>138</v>
      </c>
      <c r="AC917" s="263" t="s">
        <v>205</v>
      </c>
    </row>
    <row r="918" spans="2:29" ht="56" x14ac:dyDescent="0.35">
      <c r="B918" s="166">
        <v>20251005</v>
      </c>
      <c r="C918" s="50" t="s">
        <v>208</v>
      </c>
      <c r="D918" s="246" t="s">
        <v>166</v>
      </c>
      <c r="E918" s="51" t="s">
        <v>558</v>
      </c>
      <c r="F918" s="260" t="s">
        <v>1177</v>
      </c>
      <c r="G918" s="260" t="s">
        <v>156</v>
      </c>
      <c r="H918" s="161" t="s">
        <v>606</v>
      </c>
      <c r="I918" s="261">
        <v>10</v>
      </c>
      <c r="J918" s="261">
        <v>1</v>
      </c>
      <c r="K918" s="162">
        <v>3</v>
      </c>
      <c r="L918" s="164">
        <v>3612761</v>
      </c>
      <c r="M918" s="163" t="s">
        <v>464</v>
      </c>
      <c r="N918" s="164" t="s">
        <v>113</v>
      </c>
      <c r="O918" s="51" t="s">
        <v>219</v>
      </c>
      <c r="P918" s="262" t="str">
        <f>IFERROR(VLOOKUP(C918,TD!$B$33:$F$37,2,0)," ")</f>
        <v>O230117</v>
      </c>
      <c r="Q918" s="262" t="str">
        <f>IFERROR(VLOOKUP(C918,TD!$B$33:$F$37,3,0)," ")</f>
        <v>4599</v>
      </c>
      <c r="R918" s="262">
        <f>IFERROR(VLOOKUP(C918,TD!$B$33:$F$37,4,0)," ")</f>
        <v>20240207</v>
      </c>
      <c r="S918" s="51" t="s">
        <v>185</v>
      </c>
      <c r="T918" s="248" t="str">
        <f>IFERROR(VLOOKUP(S918,TD!$J$34:$K$44,2,0)," ")</f>
        <v>Infraestructura física, mantenimiento y dotación (Sedes construidas, mantenidas reforzadas)</v>
      </c>
      <c r="U918" s="249" t="str">
        <f>CONCATENATE(S918,"-",T918)</f>
        <v>08-Infraestructura física, mantenimiento y dotación (Sedes construidas, mantenidas reforzadas)</v>
      </c>
      <c r="V918" s="51" t="s">
        <v>238</v>
      </c>
      <c r="W918" s="248" t="str">
        <f>IFERROR(VLOOKUP(V918,TD!$N$34:$O$46,2,0)," ")</f>
        <v>Sedes mantenidas</v>
      </c>
      <c r="X918" s="249" t="str">
        <f>CONCATENATE(V918,"_",W918)</f>
        <v>016_Sedes mantenidas</v>
      </c>
      <c r="Y918" s="249" t="str">
        <f>CONCATENATE(U918," ",X918)</f>
        <v>08-Infraestructura física, mantenimiento y dotación (Sedes construidas, mantenidas reforzadas) 016_Sedes mantenidas</v>
      </c>
      <c r="Z918" s="262" t="str">
        <f>CONCATENATE(P918,Q918,R918,S918,V918)</f>
        <v>O23011745992024020708016</v>
      </c>
      <c r="AA918" s="262" t="str">
        <f>IFERROR(VLOOKUP(Y918,TD!$K$47:$L$65,2,0)," ")</f>
        <v>PM/0131/0108/45990160207</v>
      </c>
      <c r="AB918" s="164" t="s">
        <v>138</v>
      </c>
      <c r="AC918" s="263" t="s">
        <v>205</v>
      </c>
    </row>
    <row r="919" spans="2:29" ht="70" x14ac:dyDescent="0.35">
      <c r="B919" s="166">
        <v>20251006</v>
      </c>
      <c r="C919" s="50" t="s">
        <v>208</v>
      </c>
      <c r="D919" s="246" t="s">
        <v>166</v>
      </c>
      <c r="E919" s="51" t="s">
        <v>558</v>
      </c>
      <c r="F919" s="260" t="s">
        <v>1178</v>
      </c>
      <c r="G919" s="260" t="s">
        <v>156</v>
      </c>
      <c r="H919" s="161" t="s">
        <v>606</v>
      </c>
      <c r="I919" s="261">
        <v>10</v>
      </c>
      <c r="J919" s="261">
        <v>0</v>
      </c>
      <c r="K919" s="162">
        <v>18</v>
      </c>
      <c r="L919" s="164">
        <v>1970597</v>
      </c>
      <c r="M919" s="163" t="s">
        <v>464</v>
      </c>
      <c r="N919" s="164" t="s">
        <v>113</v>
      </c>
      <c r="O919" s="51" t="s">
        <v>218</v>
      </c>
      <c r="P919" s="262" t="str">
        <f>IFERROR(VLOOKUP(C919,TD!$B$33:$F$37,2,0)," ")</f>
        <v>O230117</v>
      </c>
      <c r="Q919" s="262" t="str">
        <f>IFERROR(VLOOKUP(C919,TD!$B$33:$F$37,3,0)," ")</f>
        <v>4599</v>
      </c>
      <c r="R919" s="262">
        <f>IFERROR(VLOOKUP(C919,TD!$B$33:$F$37,4,0)," ")</f>
        <v>20240207</v>
      </c>
      <c r="S919" s="51" t="s">
        <v>185</v>
      </c>
      <c r="T919" s="248" t="str">
        <f>IFERROR(VLOOKUP(S919,TD!$J$34:$K$44,2,0)," ")</f>
        <v>Infraestructura física, mantenimiento y dotación (Sedes construidas, mantenidas reforzadas)</v>
      </c>
      <c r="U919" s="249" t="str">
        <f>CONCATENATE(S919,"-",T919)</f>
        <v>08-Infraestructura física, mantenimiento y dotación (Sedes construidas, mantenidas reforzadas)</v>
      </c>
      <c r="V919" s="51" t="s">
        <v>238</v>
      </c>
      <c r="W919" s="248" t="str">
        <f>IFERROR(VLOOKUP(V919,TD!$N$34:$O$46,2,0)," ")</f>
        <v>Sedes mantenidas</v>
      </c>
      <c r="X919" s="249" t="str">
        <f>CONCATENATE(V919,"_",W919)</f>
        <v>016_Sedes mantenidas</v>
      </c>
      <c r="Y919" s="249" t="str">
        <f>CONCATENATE(U919," ",X919)</f>
        <v>08-Infraestructura física, mantenimiento y dotación (Sedes construidas, mantenidas reforzadas) 016_Sedes mantenidas</v>
      </c>
      <c r="Z919" s="262" t="str">
        <f>CONCATENATE(P919,Q919,R919,S919,V919)</f>
        <v>O23011745992024020708016</v>
      </c>
      <c r="AA919" s="262" t="str">
        <f>IFERROR(VLOOKUP(Y919,TD!$K$47:$L$65,2,0)," ")</f>
        <v>PM/0131/0108/45990160207</v>
      </c>
      <c r="AB919" s="164" t="s">
        <v>138</v>
      </c>
      <c r="AC919" s="263" t="s">
        <v>205</v>
      </c>
    </row>
    <row r="920" spans="2:29" ht="70" x14ac:dyDescent="0.35">
      <c r="B920" s="166">
        <v>20251007</v>
      </c>
      <c r="C920" s="50" t="s">
        <v>208</v>
      </c>
      <c r="D920" s="246" t="s">
        <v>166</v>
      </c>
      <c r="E920" s="51" t="s">
        <v>558</v>
      </c>
      <c r="F920" s="260" t="s">
        <v>1179</v>
      </c>
      <c r="G920" s="260" t="s">
        <v>156</v>
      </c>
      <c r="H920" s="161" t="s">
        <v>606</v>
      </c>
      <c r="I920" s="261">
        <v>10</v>
      </c>
      <c r="J920" s="261">
        <v>1</v>
      </c>
      <c r="K920" s="162">
        <v>7</v>
      </c>
      <c r="L920" s="164">
        <v>4050671</v>
      </c>
      <c r="M920" s="163" t="s">
        <v>464</v>
      </c>
      <c r="N920" s="164" t="s">
        <v>113</v>
      </c>
      <c r="O920" s="51" t="s">
        <v>218</v>
      </c>
      <c r="P920" s="262" t="str">
        <f>IFERROR(VLOOKUP(C920,TD!$B$33:$F$37,2,0)," ")</f>
        <v>O230117</v>
      </c>
      <c r="Q920" s="262" t="str">
        <f>IFERROR(VLOOKUP(C920,TD!$B$33:$F$37,3,0)," ")</f>
        <v>4599</v>
      </c>
      <c r="R920" s="262">
        <f>IFERROR(VLOOKUP(C920,TD!$B$33:$F$37,4,0)," ")</f>
        <v>20240207</v>
      </c>
      <c r="S920" s="51" t="s">
        <v>185</v>
      </c>
      <c r="T920" s="248" t="str">
        <f>IFERROR(VLOOKUP(S920,TD!$J$34:$K$44,2,0)," ")</f>
        <v>Infraestructura física, mantenimiento y dotación (Sedes construidas, mantenidas reforzadas)</v>
      </c>
      <c r="U920" s="249" t="str">
        <f>CONCATENATE(S920,"-",T920)</f>
        <v>08-Infraestructura física, mantenimiento y dotación (Sedes construidas, mantenidas reforzadas)</v>
      </c>
      <c r="V920" s="51" t="s">
        <v>238</v>
      </c>
      <c r="W920" s="248" t="str">
        <f>IFERROR(VLOOKUP(V920,TD!$N$34:$O$46,2,0)," ")</f>
        <v>Sedes mantenidas</v>
      </c>
      <c r="X920" s="249" t="str">
        <f>CONCATENATE(V920,"_",W920)</f>
        <v>016_Sedes mantenidas</v>
      </c>
      <c r="Y920" s="249" t="str">
        <f>CONCATENATE(U920," ",X920)</f>
        <v>08-Infraestructura física, mantenimiento y dotación (Sedes construidas, mantenidas reforzadas) 016_Sedes mantenidas</v>
      </c>
      <c r="Z920" s="262" t="str">
        <f>CONCATENATE(P920,Q920,R920,S920,V920)</f>
        <v>O23011745992024020708016</v>
      </c>
      <c r="AA920" s="262" t="str">
        <f>IFERROR(VLOOKUP(Y920,TD!$K$47:$L$65,2,0)," ")</f>
        <v>PM/0131/0108/45990160207</v>
      </c>
      <c r="AB920" s="164" t="s">
        <v>138</v>
      </c>
      <c r="AC920" s="263" t="s">
        <v>205</v>
      </c>
    </row>
    <row r="921" spans="2:29" ht="98" x14ac:dyDescent="0.35">
      <c r="B921" s="132">
        <v>20251008</v>
      </c>
      <c r="C921" s="50" t="s">
        <v>208</v>
      </c>
      <c r="D921" s="246" t="s">
        <v>166</v>
      </c>
      <c r="E921" s="51" t="s">
        <v>558</v>
      </c>
      <c r="F921" s="260" t="s">
        <v>1180</v>
      </c>
      <c r="G921" s="260" t="s">
        <v>156</v>
      </c>
      <c r="H921" s="161" t="s">
        <v>606</v>
      </c>
      <c r="I921" s="261">
        <v>10</v>
      </c>
      <c r="J921" s="261">
        <v>0</v>
      </c>
      <c r="K921" s="162">
        <v>16</v>
      </c>
      <c r="L921" s="164">
        <v>1751642</v>
      </c>
      <c r="M921" s="163" t="s">
        <v>464</v>
      </c>
      <c r="N921" s="164" t="s">
        <v>113</v>
      </c>
      <c r="O921" s="51" t="s">
        <v>218</v>
      </c>
      <c r="P921" s="262" t="str">
        <f>IFERROR(VLOOKUP(C921,TD!$B$33:$F$37,2,0)," ")</f>
        <v>O230117</v>
      </c>
      <c r="Q921" s="262" t="str">
        <f>IFERROR(VLOOKUP(C921,TD!$B$33:$F$37,3,0)," ")</f>
        <v>4599</v>
      </c>
      <c r="R921" s="262">
        <f>IFERROR(VLOOKUP(C921,TD!$B$33:$F$37,4,0)," ")</f>
        <v>20240207</v>
      </c>
      <c r="S921" s="51" t="s">
        <v>185</v>
      </c>
      <c r="T921" s="248" t="str">
        <f>IFERROR(VLOOKUP(S921,TD!$J$34:$K$44,2,0)," ")</f>
        <v>Infraestructura física, mantenimiento y dotación (Sedes construidas, mantenidas reforzadas)</v>
      </c>
      <c r="U921" s="249" t="str">
        <f>CONCATENATE(S921,"-",T921)</f>
        <v>08-Infraestructura física, mantenimiento y dotación (Sedes construidas, mantenidas reforzadas)</v>
      </c>
      <c r="V921" s="51" t="s">
        <v>238</v>
      </c>
      <c r="W921" s="248" t="str">
        <f>IFERROR(VLOOKUP(V921,TD!$N$34:$O$46,2,0)," ")</f>
        <v>Sedes mantenidas</v>
      </c>
      <c r="X921" s="249" t="str">
        <f>CONCATENATE(V921,"_",W921)</f>
        <v>016_Sedes mantenidas</v>
      </c>
      <c r="Y921" s="249" t="str">
        <f>CONCATENATE(U921," ",X921)</f>
        <v>08-Infraestructura física, mantenimiento y dotación (Sedes construidas, mantenidas reforzadas) 016_Sedes mantenidas</v>
      </c>
      <c r="Z921" s="262" t="str">
        <f>CONCATENATE(P921,Q921,R921,S921,V921)</f>
        <v>O23011745992024020708016</v>
      </c>
      <c r="AA921" s="262" t="str">
        <f>IFERROR(VLOOKUP(Y921,TD!$K$47:$L$65,2,0)," ")</f>
        <v>PM/0131/0108/45990160207</v>
      </c>
      <c r="AB921" s="164" t="s">
        <v>138</v>
      </c>
      <c r="AC921" s="263" t="s">
        <v>205</v>
      </c>
    </row>
    <row r="922" spans="2:29" ht="98" x14ac:dyDescent="0.35">
      <c r="B922" s="160">
        <v>20251009</v>
      </c>
      <c r="C922" s="50" t="s">
        <v>208</v>
      </c>
      <c r="D922" s="246" t="s">
        <v>166</v>
      </c>
      <c r="E922" s="51" t="s">
        <v>558</v>
      </c>
      <c r="F922" s="260" t="s">
        <v>1380</v>
      </c>
      <c r="G922" s="260" t="s">
        <v>155</v>
      </c>
      <c r="H922" s="161" t="s">
        <v>606</v>
      </c>
      <c r="I922" s="261">
        <v>12</v>
      </c>
      <c r="J922" s="261">
        <v>1</v>
      </c>
      <c r="K922" s="162">
        <v>15</v>
      </c>
      <c r="L922" s="164">
        <v>13673529</v>
      </c>
      <c r="M922" s="163" t="s">
        <v>464</v>
      </c>
      <c r="N922" s="164" t="s">
        <v>113</v>
      </c>
      <c r="O922" s="51" t="s">
        <v>219</v>
      </c>
      <c r="P922" s="262" t="str">
        <f>IFERROR(VLOOKUP(C922,TD!$B$33:$F$37,2,0)," ")</f>
        <v>O230117</v>
      </c>
      <c r="Q922" s="262" t="str">
        <f>IFERROR(VLOOKUP(C922,TD!$B$33:$F$37,3,0)," ")</f>
        <v>4599</v>
      </c>
      <c r="R922" s="262">
        <f>IFERROR(VLOOKUP(C922,TD!$B$33:$F$37,4,0)," ")</f>
        <v>20240207</v>
      </c>
      <c r="S922" s="51" t="s">
        <v>185</v>
      </c>
      <c r="T922" s="248" t="str">
        <f>IFERROR(VLOOKUP(S922,TD!$J$34:$K$44,2,0)," ")</f>
        <v>Infraestructura física, mantenimiento y dotación (Sedes construidas, mantenidas reforzadas)</v>
      </c>
      <c r="U922" s="249" t="str">
        <f>CONCATENATE(S922,"-",T922)</f>
        <v>08-Infraestructura física, mantenimiento y dotación (Sedes construidas, mantenidas reforzadas)</v>
      </c>
      <c r="V922" s="51" t="s">
        <v>238</v>
      </c>
      <c r="W922" s="248" t="str">
        <f>IFERROR(VLOOKUP(V922,TD!$N$34:$O$46,2,0)," ")</f>
        <v>Sedes mantenidas</v>
      </c>
      <c r="X922" s="249" t="str">
        <f>CONCATENATE(V922,"_",W922)</f>
        <v>016_Sedes mantenidas</v>
      </c>
      <c r="Y922" s="249" t="str">
        <f>CONCATENATE(U922," ",X922)</f>
        <v>08-Infraestructura física, mantenimiento y dotación (Sedes construidas, mantenidas reforzadas) 016_Sedes mantenidas</v>
      </c>
      <c r="Z922" s="262" t="str">
        <f>CONCATENATE(P922,Q922,R922,S922,V922)</f>
        <v>O23011745992024020708016</v>
      </c>
      <c r="AA922" s="262" t="str">
        <f>IFERROR(VLOOKUP(Y922,TD!$K$47:$L$65,2,0)," ")</f>
        <v>PM/0131/0108/45990160207</v>
      </c>
      <c r="AB922" s="164" t="s">
        <v>138</v>
      </c>
      <c r="AC922" s="263" t="s">
        <v>205</v>
      </c>
    </row>
    <row r="923" spans="2:29" ht="70" x14ac:dyDescent="0.35">
      <c r="B923" s="166">
        <v>20251010</v>
      </c>
      <c r="C923" s="50" t="s">
        <v>208</v>
      </c>
      <c r="D923" s="246" t="s">
        <v>166</v>
      </c>
      <c r="E923" s="51" t="s">
        <v>558</v>
      </c>
      <c r="F923" s="260" t="s">
        <v>1181</v>
      </c>
      <c r="G923" s="260" t="s">
        <v>155</v>
      </c>
      <c r="H923" s="161" t="s">
        <v>606</v>
      </c>
      <c r="I923" s="261">
        <v>10</v>
      </c>
      <c r="J923" s="261">
        <v>1</v>
      </c>
      <c r="K923" s="162">
        <v>0</v>
      </c>
      <c r="L923" s="164">
        <v>5161087</v>
      </c>
      <c r="M923" s="163" t="s">
        <v>464</v>
      </c>
      <c r="N923" s="164" t="s">
        <v>113</v>
      </c>
      <c r="O923" s="51" t="s">
        <v>219</v>
      </c>
      <c r="P923" s="262" t="str">
        <f>IFERROR(VLOOKUP(C923,TD!$B$33:$F$37,2,0)," ")</f>
        <v>O230117</v>
      </c>
      <c r="Q923" s="262" t="str">
        <f>IFERROR(VLOOKUP(C923,TD!$B$33:$F$37,3,0)," ")</f>
        <v>4599</v>
      </c>
      <c r="R923" s="262">
        <f>IFERROR(VLOOKUP(C923,TD!$B$33:$F$37,4,0)," ")</f>
        <v>20240207</v>
      </c>
      <c r="S923" s="51" t="s">
        <v>185</v>
      </c>
      <c r="T923" s="248" t="str">
        <f>IFERROR(VLOOKUP(S923,TD!$J$34:$K$44,2,0)," ")</f>
        <v>Infraestructura física, mantenimiento y dotación (Sedes construidas, mantenidas reforzadas)</v>
      </c>
      <c r="U923" s="249" t="str">
        <f>CONCATENATE(S923,"-",T923)</f>
        <v>08-Infraestructura física, mantenimiento y dotación (Sedes construidas, mantenidas reforzadas)</v>
      </c>
      <c r="V923" s="51" t="s">
        <v>238</v>
      </c>
      <c r="W923" s="248" t="str">
        <f>IFERROR(VLOOKUP(V923,TD!$N$34:$O$46,2,0)," ")</f>
        <v>Sedes mantenidas</v>
      </c>
      <c r="X923" s="249" t="str">
        <f>CONCATENATE(V923,"_",W923)</f>
        <v>016_Sedes mantenidas</v>
      </c>
      <c r="Y923" s="249" t="str">
        <f>CONCATENATE(U923," ",X923)</f>
        <v>08-Infraestructura física, mantenimiento y dotación (Sedes construidas, mantenidas reforzadas) 016_Sedes mantenidas</v>
      </c>
      <c r="Z923" s="262" t="str">
        <f>CONCATENATE(P923,Q923,R923,S923,V923)</f>
        <v>O23011745992024020708016</v>
      </c>
      <c r="AA923" s="262" t="str">
        <f>IFERROR(VLOOKUP(Y923,TD!$K$47:$L$65,2,0)," ")</f>
        <v>PM/0131/0108/45990160207</v>
      </c>
      <c r="AB923" s="164" t="s">
        <v>138</v>
      </c>
      <c r="AC923" s="263" t="s">
        <v>205</v>
      </c>
    </row>
    <row r="924" spans="2:29" ht="98" x14ac:dyDescent="0.35">
      <c r="B924" s="166">
        <v>20251011</v>
      </c>
      <c r="C924" s="50" t="s">
        <v>208</v>
      </c>
      <c r="D924" s="246" t="s">
        <v>166</v>
      </c>
      <c r="E924" s="51" t="s">
        <v>558</v>
      </c>
      <c r="F924" s="260" t="s">
        <v>1182</v>
      </c>
      <c r="G924" s="260" t="s">
        <v>155</v>
      </c>
      <c r="H924" s="161" t="s">
        <v>606</v>
      </c>
      <c r="I924" s="261">
        <v>10</v>
      </c>
      <c r="J924" s="261">
        <v>0</v>
      </c>
      <c r="K924" s="162">
        <v>7</v>
      </c>
      <c r="L924" s="164">
        <v>1204254</v>
      </c>
      <c r="M924" s="163" t="s">
        <v>464</v>
      </c>
      <c r="N924" s="164" t="s">
        <v>113</v>
      </c>
      <c r="O924" s="51" t="s">
        <v>218</v>
      </c>
      <c r="P924" s="262" t="str">
        <f>IFERROR(VLOOKUP(C924,TD!$B$33:$F$37,2,0)," ")</f>
        <v>O230117</v>
      </c>
      <c r="Q924" s="262" t="str">
        <f>IFERROR(VLOOKUP(C924,TD!$B$33:$F$37,3,0)," ")</f>
        <v>4599</v>
      </c>
      <c r="R924" s="262">
        <f>IFERROR(VLOOKUP(C924,TD!$B$33:$F$37,4,0)," ")</f>
        <v>20240207</v>
      </c>
      <c r="S924" s="51" t="s">
        <v>185</v>
      </c>
      <c r="T924" s="248" t="str">
        <f>IFERROR(VLOOKUP(S924,TD!$J$34:$K$44,2,0)," ")</f>
        <v>Infraestructura física, mantenimiento y dotación (Sedes construidas, mantenidas reforzadas)</v>
      </c>
      <c r="U924" s="249" t="str">
        <f>CONCATENATE(S924,"-",T924)</f>
        <v>08-Infraestructura física, mantenimiento y dotación (Sedes construidas, mantenidas reforzadas)</v>
      </c>
      <c r="V924" s="51" t="s">
        <v>238</v>
      </c>
      <c r="W924" s="248" t="str">
        <f>IFERROR(VLOOKUP(V924,TD!$N$34:$O$46,2,0)," ")</f>
        <v>Sedes mantenidas</v>
      </c>
      <c r="X924" s="249" t="str">
        <f>CONCATENATE(V924,"_",W924)</f>
        <v>016_Sedes mantenidas</v>
      </c>
      <c r="Y924" s="249" t="str">
        <f>CONCATENATE(U924," ",X924)</f>
        <v>08-Infraestructura física, mantenimiento y dotación (Sedes construidas, mantenidas reforzadas) 016_Sedes mantenidas</v>
      </c>
      <c r="Z924" s="262" t="str">
        <f>CONCATENATE(P924,Q924,R924,S924,V924)</f>
        <v>O23011745992024020708016</v>
      </c>
      <c r="AA924" s="262" t="str">
        <f>IFERROR(VLOOKUP(Y924,TD!$K$47:$L$65,2,0)," ")</f>
        <v>PM/0131/0108/45990160207</v>
      </c>
      <c r="AB924" s="164" t="s">
        <v>138</v>
      </c>
      <c r="AC924" s="263" t="s">
        <v>205</v>
      </c>
    </row>
    <row r="925" spans="2:29" ht="70" x14ac:dyDescent="0.35">
      <c r="B925" s="166">
        <v>20251012</v>
      </c>
      <c r="C925" s="50" t="s">
        <v>208</v>
      </c>
      <c r="D925" s="246" t="s">
        <v>166</v>
      </c>
      <c r="E925" s="51" t="s">
        <v>558</v>
      </c>
      <c r="F925" s="260" t="s">
        <v>1183</v>
      </c>
      <c r="G925" s="260" t="s">
        <v>155</v>
      </c>
      <c r="H925" s="161" t="s">
        <v>606</v>
      </c>
      <c r="I925" s="261">
        <v>10</v>
      </c>
      <c r="J925" s="261">
        <v>0</v>
      </c>
      <c r="K925" s="162">
        <v>22</v>
      </c>
      <c r="L925" s="164">
        <v>5133333</v>
      </c>
      <c r="M925" s="163" t="s">
        <v>464</v>
      </c>
      <c r="N925" s="164" t="s">
        <v>113</v>
      </c>
      <c r="O925" s="51" t="s">
        <v>219</v>
      </c>
      <c r="P925" s="262" t="str">
        <f>IFERROR(VLOOKUP(C925,TD!$B$33:$F$37,2,0)," ")</f>
        <v>O230117</v>
      </c>
      <c r="Q925" s="262" t="str">
        <f>IFERROR(VLOOKUP(C925,TD!$B$33:$F$37,3,0)," ")</f>
        <v>4599</v>
      </c>
      <c r="R925" s="262">
        <f>IFERROR(VLOOKUP(C925,TD!$B$33:$F$37,4,0)," ")</f>
        <v>20240207</v>
      </c>
      <c r="S925" s="51" t="s">
        <v>185</v>
      </c>
      <c r="T925" s="248" t="str">
        <f>IFERROR(VLOOKUP(S925,TD!$J$34:$K$44,2,0)," ")</f>
        <v>Infraestructura física, mantenimiento y dotación (Sedes construidas, mantenidas reforzadas)</v>
      </c>
      <c r="U925" s="249" t="str">
        <f>CONCATENATE(S925,"-",T925)</f>
        <v>08-Infraestructura física, mantenimiento y dotación (Sedes construidas, mantenidas reforzadas)</v>
      </c>
      <c r="V925" s="51" t="s">
        <v>238</v>
      </c>
      <c r="W925" s="248" t="str">
        <f>IFERROR(VLOOKUP(V925,TD!$N$34:$O$46,2,0)," ")</f>
        <v>Sedes mantenidas</v>
      </c>
      <c r="X925" s="249" t="str">
        <f>CONCATENATE(V925,"_",W925)</f>
        <v>016_Sedes mantenidas</v>
      </c>
      <c r="Y925" s="249" t="str">
        <f>CONCATENATE(U925," ",X925)</f>
        <v>08-Infraestructura física, mantenimiento y dotación (Sedes construidas, mantenidas reforzadas) 016_Sedes mantenidas</v>
      </c>
      <c r="Z925" s="262" t="str">
        <f>CONCATENATE(P925,Q925,R925,S925,V925)</f>
        <v>O23011745992024020708016</v>
      </c>
      <c r="AA925" s="262" t="str">
        <f>IFERROR(VLOOKUP(Y925,TD!$K$47:$L$65,2,0)," ")</f>
        <v>PM/0131/0108/45990160207</v>
      </c>
      <c r="AB925" s="164" t="s">
        <v>138</v>
      </c>
      <c r="AC925" s="263" t="s">
        <v>205</v>
      </c>
    </row>
    <row r="926" spans="2:29" ht="70" x14ac:dyDescent="0.35">
      <c r="B926" s="166">
        <v>20251013</v>
      </c>
      <c r="C926" s="50" t="s">
        <v>208</v>
      </c>
      <c r="D926" s="246" t="s">
        <v>166</v>
      </c>
      <c r="E926" s="51" t="s">
        <v>558</v>
      </c>
      <c r="F926" s="260" t="s">
        <v>1184</v>
      </c>
      <c r="G926" s="260" t="s">
        <v>137</v>
      </c>
      <c r="H926" s="161" t="s">
        <v>406</v>
      </c>
      <c r="I926" s="261" t="s">
        <v>406</v>
      </c>
      <c r="J926" s="261" t="s">
        <v>406</v>
      </c>
      <c r="K926" s="162" t="s">
        <v>406</v>
      </c>
      <c r="L926" s="164">
        <v>833333</v>
      </c>
      <c r="M926" s="163" t="s">
        <v>173</v>
      </c>
      <c r="N926" s="164" t="s">
        <v>128</v>
      </c>
      <c r="O926" s="51" t="s">
        <v>218</v>
      </c>
      <c r="P926" s="262" t="str">
        <f>IFERROR(VLOOKUP(C926,TD!$B$33:$F$37,2,0)," ")</f>
        <v>O230117</v>
      </c>
      <c r="Q926" s="262" t="str">
        <f>IFERROR(VLOOKUP(C926,TD!$B$33:$F$37,3,0)," ")</f>
        <v>4599</v>
      </c>
      <c r="R926" s="262">
        <f>IFERROR(VLOOKUP(C926,TD!$B$33:$F$37,4,0)," ")</f>
        <v>20240207</v>
      </c>
      <c r="S926" s="51" t="s">
        <v>185</v>
      </c>
      <c r="T926" s="248" t="str">
        <f>IFERROR(VLOOKUP(S926,TD!$J$34:$K$44,2,0)," ")</f>
        <v>Infraestructura física, mantenimiento y dotación (Sedes construidas, mantenidas reforzadas)</v>
      </c>
      <c r="U926" s="249" t="str">
        <f>CONCATENATE(S926,"-",T926)</f>
        <v>08-Infraestructura física, mantenimiento y dotación (Sedes construidas, mantenidas reforzadas)</v>
      </c>
      <c r="V926" s="51" t="s">
        <v>238</v>
      </c>
      <c r="W926" s="248" t="str">
        <f>IFERROR(VLOOKUP(V926,TD!$N$34:$O$46,2,0)," ")</f>
        <v>Sedes mantenidas</v>
      </c>
      <c r="X926" s="249" t="str">
        <f>CONCATENATE(V926,"_",W926)</f>
        <v>016_Sedes mantenidas</v>
      </c>
      <c r="Y926" s="249" t="str">
        <f>CONCATENATE(U926," ",X926)</f>
        <v>08-Infraestructura física, mantenimiento y dotación (Sedes construidas, mantenidas reforzadas) 016_Sedes mantenidas</v>
      </c>
      <c r="Z926" s="262" t="str">
        <f>CONCATENATE(P926,Q926,R926,S926,V926)</f>
        <v>O23011745992024020708016</v>
      </c>
      <c r="AA926" s="262" t="str">
        <f>IFERROR(VLOOKUP(Y926,TD!$K$47:$L$65,2,0)," ")</f>
        <v>PM/0131/0108/45990160207</v>
      </c>
      <c r="AB926" s="164" t="s">
        <v>138</v>
      </c>
      <c r="AC926" s="263" t="s">
        <v>205</v>
      </c>
    </row>
    <row r="927" spans="2:29" ht="70" x14ac:dyDescent="0.35">
      <c r="B927" s="132">
        <v>20251014</v>
      </c>
      <c r="C927" s="50" t="s">
        <v>208</v>
      </c>
      <c r="D927" s="246" t="s">
        <v>166</v>
      </c>
      <c r="E927" s="51" t="s">
        <v>558</v>
      </c>
      <c r="F927" s="260" t="s">
        <v>1185</v>
      </c>
      <c r="G927" s="260" t="s">
        <v>137</v>
      </c>
      <c r="H927" s="161" t="s">
        <v>406</v>
      </c>
      <c r="I927" s="261" t="s">
        <v>406</v>
      </c>
      <c r="J927" s="261" t="s">
        <v>406</v>
      </c>
      <c r="K927" s="162" t="s">
        <v>406</v>
      </c>
      <c r="L927" s="164">
        <v>1833333</v>
      </c>
      <c r="M927" s="163" t="s">
        <v>173</v>
      </c>
      <c r="N927" s="164" t="s">
        <v>128</v>
      </c>
      <c r="O927" s="51" t="s">
        <v>218</v>
      </c>
      <c r="P927" s="262" t="str">
        <f>IFERROR(VLOOKUP(C927,TD!$B$33:$F$37,2,0)," ")</f>
        <v>O230117</v>
      </c>
      <c r="Q927" s="262" t="str">
        <f>IFERROR(VLOOKUP(C927,TD!$B$33:$F$37,3,0)," ")</f>
        <v>4599</v>
      </c>
      <c r="R927" s="262">
        <f>IFERROR(VLOOKUP(C927,TD!$B$33:$F$37,4,0)," ")</f>
        <v>20240207</v>
      </c>
      <c r="S927" s="51" t="s">
        <v>185</v>
      </c>
      <c r="T927" s="248" t="str">
        <f>IFERROR(VLOOKUP(S927,TD!$J$34:$K$44,2,0)," ")</f>
        <v>Infraestructura física, mantenimiento y dotación (Sedes construidas, mantenidas reforzadas)</v>
      </c>
      <c r="U927" s="249" t="str">
        <f>CONCATENATE(S927,"-",T927)</f>
        <v>08-Infraestructura física, mantenimiento y dotación (Sedes construidas, mantenidas reforzadas)</v>
      </c>
      <c r="V927" s="51" t="s">
        <v>238</v>
      </c>
      <c r="W927" s="248" t="str">
        <f>IFERROR(VLOOKUP(V927,TD!$N$34:$O$46,2,0)," ")</f>
        <v>Sedes mantenidas</v>
      </c>
      <c r="X927" s="249" t="str">
        <f>CONCATENATE(V927,"_",W927)</f>
        <v>016_Sedes mantenidas</v>
      </c>
      <c r="Y927" s="249" t="str">
        <f>CONCATENATE(U927," ",X927)</f>
        <v>08-Infraestructura física, mantenimiento y dotación (Sedes construidas, mantenidas reforzadas) 016_Sedes mantenidas</v>
      </c>
      <c r="Z927" s="262" t="str">
        <f>CONCATENATE(P927,Q927,R927,S927,V927)</f>
        <v>O23011745992024020708016</v>
      </c>
      <c r="AA927" s="262" t="str">
        <f>IFERROR(VLOOKUP(Y927,TD!$K$47:$L$65,2,0)," ")</f>
        <v>PM/0131/0108/45990160207</v>
      </c>
      <c r="AB927" s="164" t="s">
        <v>138</v>
      </c>
      <c r="AC927" s="263" t="s">
        <v>205</v>
      </c>
    </row>
    <row r="928" spans="2:29" ht="56" x14ac:dyDescent="0.35">
      <c r="B928" s="160">
        <v>20251015</v>
      </c>
      <c r="C928" s="50" t="s">
        <v>208</v>
      </c>
      <c r="D928" s="246" t="s">
        <v>166</v>
      </c>
      <c r="E928" s="51" t="s">
        <v>558</v>
      </c>
      <c r="F928" s="260" t="s">
        <v>1186</v>
      </c>
      <c r="G928" s="260" t="s">
        <v>137</v>
      </c>
      <c r="H928" s="161" t="s">
        <v>406</v>
      </c>
      <c r="I928" s="261" t="s">
        <v>406</v>
      </c>
      <c r="J928" s="261" t="s">
        <v>406</v>
      </c>
      <c r="K928" s="162" t="s">
        <v>406</v>
      </c>
      <c r="L928" s="164">
        <v>1689258</v>
      </c>
      <c r="M928" s="163" t="s">
        <v>173</v>
      </c>
      <c r="N928" s="164" t="s">
        <v>128</v>
      </c>
      <c r="O928" s="51" t="s">
        <v>218</v>
      </c>
      <c r="P928" s="262" t="str">
        <f>IFERROR(VLOOKUP(C928,TD!$B$33:$F$37,2,0)," ")</f>
        <v>O230117</v>
      </c>
      <c r="Q928" s="262" t="str">
        <f>IFERROR(VLOOKUP(C928,TD!$B$33:$F$37,3,0)," ")</f>
        <v>4599</v>
      </c>
      <c r="R928" s="262">
        <f>IFERROR(VLOOKUP(C928,TD!$B$33:$F$37,4,0)," ")</f>
        <v>20240207</v>
      </c>
      <c r="S928" s="51" t="s">
        <v>185</v>
      </c>
      <c r="T928" s="248" t="str">
        <f>IFERROR(VLOOKUP(S928,TD!$J$34:$K$44,2,0)," ")</f>
        <v>Infraestructura física, mantenimiento y dotación (Sedes construidas, mantenidas reforzadas)</v>
      </c>
      <c r="U928" s="249" t="str">
        <f>CONCATENATE(S928,"-",T928)</f>
        <v>08-Infraestructura física, mantenimiento y dotación (Sedes construidas, mantenidas reforzadas)</v>
      </c>
      <c r="V928" s="51" t="s">
        <v>238</v>
      </c>
      <c r="W928" s="248" t="str">
        <f>IFERROR(VLOOKUP(V928,TD!$N$34:$O$46,2,0)," ")</f>
        <v>Sedes mantenidas</v>
      </c>
      <c r="X928" s="249" t="str">
        <f>CONCATENATE(V928,"_",W928)</f>
        <v>016_Sedes mantenidas</v>
      </c>
      <c r="Y928" s="249" t="str">
        <f>CONCATENATE(U928," ",X928)</f>
        <v>08-Infraestructura física, mantenimiento y dotación (Sedes construidas, mantenidas reforzadas) 016_Sedes mantenidas</v>
      </c>
      <c r="Z928" s="262" t="str">
        <f>CONCATENATE(P928,Q928,R928,S928,V928)</f>
        <v>O23011745992024020708016</v>
      </c>
      <c r="AA928" s="262" t="str">
        <f>IFERROR(VLOOKUP(Y928,TD!$K$47:$L$65,2,0)," ")</f>
        <v>PM/0131/0108/45990160207</v>
      </c>
      <c r="AB928" s="164" t="s">
        <v>138</v>
      </c>
      <c r="AC928" s="263" t="s">
        <v>205</v>
      </c>
    </row>
    <row r="929" spans="2:29" ht="70" x14ac:dyDescent="0.35">
      <c r="B929" s="166">
        <v>20251016</v>
      </c>
      <c r="C929" s="50" t="s">
        <v>208</v>
      </c>
      <c r="D929" s="246" t="s">
        <v>166</v>
      </c>
      <c r="E929" s="51" t="s">
        <v>558</v>
      </c>
      <c r="F929" s="260" t="s">
        <v>1187</v>
      </c>
      <c r="G929" s="260" t="s">
        <v>137</v>
      </c>
      <c r="H929" s="161" t="s">
        <v>406</v>
      </c>
      <c r="I929" s="261" t="s">
        <v>406</v>
      </c>
      <c r="J929" s="261" t="s">
        <v>406</v>
      </c>
      <c r="K929" s="162" t="s">
        <v>406</v>
      </c>
      <c r="L929" s="164">
        <v>533333</v>
      </c>
      <c r="M929" s="163" t="s">
        <v>173</v>
      </c>
      <c r="N929" s="164" t="s">
        <v>128</v>
      </c>
      <c r="O929" s="51" t="s">
        <v>219</v>
      </c>
      <c r="P929" s="262" t="str">
        <f>IFERROR(VLOOKUP(C929,TD!$B$33:$F$37,2,0)," ")</f>
        <v>O230117</v>
      </c>
      <c r="Q929" s="262" t="str">
        <f>IFERROR(VLOOKUP(C929,TD!$B$33:$F$37,3,0)," ")</f>
        <v>4599</v>
      </c>
      <c r="R929" s="262">
        <f>IFERROR(VLOOKUP(C929,TD!$B$33:$F$37,4,0)," ")</f>
        <v>20240207</v>
      </c>
      <c r="S929" s="51" t="s">
        <v>185</v>
      </c>
      <c r="T929" s="248" t="str">
        <f>IFERROR(VLOOKUP(S929,TD!$J$34:$K$44,2,0)," ")</f>
        <v>Infraestructura física, mantenimiento y dotación (Sedes construidas, mantenidas reforzadas)</v>
      </c>
      <c r="U929" s="249" t="str">
        <f>CONCATENATE(S929,"-",T929)</f>
        <v>08-Infraestructura física, mantenimiento y dotación (Sedes construidas, mantenidas reforzadas)</v>
      </c>
      <c r="V929" s="51" t="s">
        <v>238</v>
      </c>
      <c r="W929" s="248" t="str">
        <f>IFERROR(VLOOKUP(V929,TD!$N$34:$O$46,2,0)," ")</f>
        <v>Sedes mantenidas</v>
      </c>
      <c r="X929" s="249" t="str">
        <f>CONCATENATE(V929,"_",W929)</f>
        <v>016_Sedes mantenidas</v>
      </c>
      <c r="Y929" s="249" t="str">
        <f>CONCATENATE(U929," ",X929)</f>
        <v>08-Infraestructura física, mantenimiento y dotación (Sedes construidas, mantenidas reforzadas) 016_Sedes mantenidas</v>
      </c>
      <c r="Z929" s="262" t="str">
        <f>CONCATENATE(P929,Q929,R929,S929,V929)</f>
        <v>O23011745992024020708016</v>
      </c>
      <c r="AA929" s="262" t="str">
        <f>IFERROR(VLOOKUP(Y929,TD!$K$47:$L$65,2,0)," ")</f>
        <v>PM/0131/0108/45990160207</v>
      </c>
      <c r="AB929" s="164" t="s">
        <v>120</v>
      </c>
      <c r="AC929" s="263" t="s">
        <v>205</v>
      </c>
    </row>
    <row r="930" spans="2:29" ht="70" x14ac:dyDescent="0.35">
      <c r="B930" s="166">
        <v>20251017</v>
      </c>
      <c r="C930" s="165" t="s">
        <v>209</v>
      </c>
      <c r="D930" s="260" t="s">
        <v>166</v>
      </c>
      <c r="E930" s="51" t="s">
        <v>558</v>
      </c>
      <c r="F930" s="260" t="s">
        <v>1188</v>
      </c>
      <c r="G930" s="260" t="s">
        <v>155</v>
      </c>
      <c r="H930" s="161" t="s">
        <v>606</v>
      </c>
      <c r="I930" s="261">
        <v>10</v>
      </c>
      <c r="J930" s="261">
        <v>1</v>
      </c>
      <c r="K930" s="162">
        <v>22</v>
      </c>
      <c r="L930" s="164">
        <v>15600000</v>
      </c>
      <c r="M930" s="163" t="s">
        <v>464</v>
      </c>
      <c r="N930" s="164" t="s">
        <v>607</v>
      </c>
      <c r="O930" s="51" t="s">
        <v>227</v>
      </c>
      <c r="P930" s="262" t="str">
        <f>IFERROR(VLOOKUP(C930,TD!$B$33:$F$37,2,0)," ")</f>
        <v>O230117</v>
      </c>
      <c r="Q930" s="262" t="str">
        <f>IFERROR(VLOOKUP(C930,TD!$B$33:$F$37,3,0)," ")</f>
        <v>4503</v>
      </c>
      <c r="R930" s="262">
        <f>IFERROR(VLOOKUP(C930,TD!$B$33:$F$37,4,0)," ")</f>
        <v>20240255</v>
      </c>
      <c r="S930" s="51" t="s">
        <v>185</v>
      </c>
      <c r="T930" s="248" t="str">
        <f>IFERROR(VLOOKUP(S930,TD!$J$34:$K$44,2,0)," ")</f>
        <v>Infraestructura física, mantenimiento y dotación (Sedes construidas, mantenidas reforzadas)</v>
      </c>
      <c r="U930" s="249" t="str">
        <f>CONCATENATE(S930,"-",T930)</f>
        <v>08-Infraestructura física, mantenimiento y dotación (Sedes construidas, mantenidas reforzadas)</v>
      </c>
      <c r="V930" s="51" t="s">
        <v>236</v>
      </c>
      <c r="W930" s="248" t="str">
        <f>IFERROR(VLOOKUP(V930,TD!$N$34:$O$46,2,0)," ")</f>
        <v>Estaciones de bomberos adecuadas</v>
      </c>
      <c r="X930" s="249" t="str">
        <f>CONCATENATE(V930,"_",W930)</f>
        <v>014_Estaciones de bomberos adecuadas</v>
      </c>
      <c r="Y930" s="249" t="str">
        <f>CONCATENATE(U930," ",X930)</f>
        <v>08-Infraestructura física, mantenimiento y dotación (Sedes construidas, mantenidas reforzadas) 014_Estaciones de bomberos adecuadas</v>
      </c>
      <c r="Z930" s="262" t="str">
        <f>CONCATENATE(P930,Q930,R930,S930,V930)</f>
        <v>O23011745032024025508014</v>
      </c>
      <c r="AA930" s="262" t="str">
        <f>IFERROR(VLOOKUP(Y930,TD!$K$47:$L$65,2,0)," ")</f>
        <v>PM/0131/0108/45030140255</v>
      </c>
      <c r="AB930" s="164" t="s">
        <v>662</v>
      </c>
      <c r="AC930" s="263" t="s">
        <v>205</v>
      </c>
    </row>
    <row r="931" spans="2:29" ht="70" x14ac:dyDescent="0.35">
      <c r="B931" s="166">
        <v>20251018</v>
      </c>
      <c r="C931" s="165" t="s">
        <v>209</v>
      </c>
      <c r="D931" s="260" t="s">
        <v>166</v>
      </c>
      <c r="E931" s="51" t="s">
        <v>558</v>
      </c>
      <c r="F931" s="260" t="s">
        <v>1189</v>
      </c>
      <c r="G931" s="260" t="s">
        <v>155</v>
      </c>
      <c r="H931" s="161" t="s">
        <v>606</v>
      </c>
      <c r="I931" s="261">
        <v>10</v>
      </c>
      <c r="J931" s="261">
        <v>0</v>
      </c>
      <c r="K931" s="162">
        <v>23</v>
      </c>
      <c r="L931" s="164">
        <v>6900000</v>
      </c>
      <c r="M931" s="163" t="s">
        <v>464</v>
      </c>
      <c r="N931" s="164" t="s">
        <v>607</v>
      </c>
      <c r="O931" s="51" t="s">
        <v>227</v>
      </c>
      <c r="P931" s="262" t="str">
        <f>IFERROR(VLOOKUP(C931,TD!$B$33:$F$37,2,0)," ")</f>
        <v>O230117</v>
      </c>
      <c r="Q931" s="262" t="str">
        <f>IFERROR(VLOOKUP(C931,TD!$B$33:$F$37,3,0)," ")</f>
        <v>4503</v>
      </c>
      <c r="R931" s="262">
        <f>IFERROR(VLOOKUP(C931,TD!$B$33:$F$37,4,0)," ")</f>
        <v>20240255</v>
      </c>
      <c r="S931" s="51" t="s">
        <v>185</v>
      </c>
      <c r="T931" s="248" t="str">
        <f>IFERROR(VLOOKUP(S931,TD!$J$34:$K$44,2,0)," ")</f>
        <v>Infraestructura física, mantenimiento y dotación (Sedes construidas, mantenidas reforzadas)</v>
      </c>
      <c r="U931" s="249" t="str">
        <f>CONCATENATE(S931,"-",T931)</f>
        <v>08-Infraestructura física, mantenimiento y dotación (Sedes construidas, mantenidas reforzadas)</v>
      </c>
      <c r="V931" s="51" t="s">
        <v>236</v>
      </c>
      <c r="W931" s="248" t="str">
        <f>IFERROR(VLOOKUP(V931,TD!$N$34:$O$46,2,0)," ")</f>
        <v>Estaciones de bomberos adecuadas</v>
      </c>
      <c r="X931" s="249" t="str">
        <f>CONCATENATE(V931,"_",W931)</f>
        <v>014_Estaciones de bomberos adecuadas</v>
      </c>
      <c r="Y931" s="249" t="str">
        <f>CONCATENATE(U931," ",X931)</f>
        <v>08-Infraestructura física, mantenimiento y dotación (Sedes construidas, mantenidas reforzadas) 014_Estaciones de bomberos adecuadas</v>
      </c>
      <c r="Z931" s="262" t="str">
        <f>CONCATENATE(P931,Q931,R931,S931,V931)</f>
        <v>O23011745032024025508014</v>
      </c>
      <c r="AA931" s="262" t="str">
        <f>IFERROR(VLOOKUP(Y931,TD!$K$47:$L$65,2,0)," ")</f>
        <v>PM/0131/0108/45030140255</v>
      </c>
      <c r="AB931" s="164" t="s">
        <v>138</v>
      </c>
      <c r="AC931" s="263" t="s">
        <v>205</v>
      </c>
    </row>
    <row r="932" spans="2:29" ht="42" x14ac:dyDescent="0.35">
      <c r="B932" s="166">
        <v>20251019</v>
      </c>
      <c r="C932" s="165" t="s">
        <v>209</v>
      </c>
      <c r="D932" s="260" t="s">
        <v>166</v>
      </c>
      <c r="E932" s="51" t="s">
        <v>558</v>
      </c>
      <c r="F932" s="260" t="s">
        <v>1190</v>
      </c>
      <c r="G932" s="260" t="s">
        <v>155</v>
      </c>
      <c r="H932" s="161" t="s">
        <v>606</v>
      </c>
      <c r="I932" s="261">
        <v>10</v>
      </c>
      <c r="J932" s="261">
        <v>2</v>
      </c>
      <c r="K932" s="162">
        <v>7</v>
      </c>
      <c r="L932" s="164">
        <v>16466324</v>
      </c>
      <c r="M932" s="163" t="s">
        <v>464</v>
      </c>
      <c r="N932" s="164" t="s">
        <v>607</v>
      </c>
      <c r="O932" s="51" t="s">
        <v>227</v>
      </c>
      <c r="P932" s="262" t="str">
        <f>IFERROR(VLOOKUP(C932,TD!$B$33:$F$37,2,0)," ")</f>
        <v>O230117</v>
      </c>
      <c r="Q932" s="262" t="str">
        <f>IFERROR(VLOOKUP(C932,TD!$B$33:$F$37,3,0)," ")</f>
        <v>4503</v>
      </c>
      <c r="R932" s="262">
        <f>IFERROR(VLOOKUP(C932,TD!$B$33:$F$37,4,0)," ")</f>
        <v>20240255</v>
      </c>
      <c r="S932" s="51" t="s">
        <v>185</v>
      </c>
      <c r="T932" s="248" t="str">
        <f>IFERROR(VLOOKUP(S932,TD!$J$34:$K$44,2,0)," ")</f>
        <v>Infraestructura física, mantenimiento y dotación (Sedes construidas, mantenidas reforzadas)</v>
      </c>
      <c r="U932" s="249" t="str">
        <f>CONCATENATE(S932,"-",T932)</f>
        <v>08-Infraestructura física, mantenimiento y dotación (Sedes construidas, mantenidas reforzadas)</v>
      </c>
      <c r="V932" s="51" t="s">
        <v>236</v>
      </c>
      <c r="W932" s="248" t="str">
        <f>IFERROR(VLOOKUP(V932,TD!$N$34:$O$46,2,0)," ")</f>
        <v>Estaciones de bomberos adecuadas</v>
      </c>
      <c r="X932" s="249" t="str">
        <f>CONCATENATE(V932,"_",W932)</f>
        <v>014_Estaciones de bomberos adecuadas</v>
      </c>
      <c r="Y932" s="249" t="str">
        <f>CONCATENATE(U932," ",X932)</f>
        <v>08-Infraestructura física, mantenimiento y dotación (Sedes construidas, mantenidas reforzadas) 014_Estaciones de bomberos adecuadas</v>
      </c>
      <c r="Z932" s="262" t="str">
        <f>CONCATENATE(P932,Q932,R932,S932,V932)</f>
        <v>O23011745032024025508014</v>
      </c>
      <c r="AA932" s="262" t="str">
        <f>IFERROR(VLOOKUP(Y932,TD!$K$47:$L$65,2,0)," ")</f>
        <v>PM/0131/0108/45030140255</v>
      </c>
      <c r="AB932" s="164" t="s">
        <v>120</v>
      </c>
      <c r="AC932" s="263" t="s">
        <v>205</v>
      </c>
    </row>
    <row r="933" spans="2:29" ht="56" x14ac:dyDescent="0.35">
      <c r="B933" s="132">
        <v>20251020</v>
      </c>
      <c r="C933" s="165" t="s">
        <v>209</v>
      </c>
      <c r="D933" s="260" t="s">
        <v>166</v>
      </c>
      <c r="E933" s="51" t="s">
        <v>558</v>
      </c>
      <c r="F933" s="260" t="s">
        <v>1191</v>
      </c>
      <c r="G933" s="260" t="s">
        <v>155</v>
      </c>
      <c r="H933" s="161" t="s">
        <v>606</v>
      </c>
      <c r="I933" s="261">
        <v>10</v>
      </c>
      <c r="J933" s="261">
        <v>0</v>
      </c>
      <c r="K933" s="162">
        <v>28</v>
      </c>
      <c r="L933" s="164">
        <v>6380980</v>
      </c>
      <c r="M933" s="163" t="s">
        <v>464</v>
      </c>
      <c r="N933" s="164" t="s">
        <v>607</v>
      </c>
      <c r="O933" s="51" t="s">
        <v>227</v>
      </c>
      <c r="P933" s="262" t="str">
        <f>IFERROR(VLOOKUP(C933,TD!$B$33:$F$37,2,0)," ")</f>
        <v>O230117</v>
      </c>
      <c r="Q933" s="262" t="str">
        <f>IFERROR(VLOOKUP(C933,TD!$B$33:$F$37,3,0)," ")</f>
        <v>4503</v>
      </c>
      <c r="R933" s="262">
        <f>IFERROR(VLOOKUP(C933,TD!$B$33:$F$37,4,0)," ")</f>
        <v>20240255</v>
      </c>
      <c r="S933" s="51" t="s">
        <v>185</v>
      </c>
      <c r="T933" s="248" t="str">
        <f>IFERROR(VLOOKUP(S933,TD!$J$34:$K$44,2,0)," ")</f>
        <v>Infraestructura física, mantenimiento y dotación (Sedes construidas, mantenidas reforzadas)</v>
      </c>
      <c r="U933" s="249" t="str">
        <f>CONCATENATE(S933,"-",T933)</f>
        <v>08-Infraestructura física, mantenimiento y dotación (Sedes construidas, mantenidas reforzadas)</v>
      </c>
      <c r="V933" s="51" t="s">
        <v>236</v>
      </c>
      <c r="W933" s="248" t="str">
        <f>IFERROR(VLOOKUP(V933,TD!$N$34:$O$46,2,0)," ")</f>
        <v>Estaciones de bomberos adecuadas</v>
      </c>
      <c r="X933" s="249" t="str">
        <f>CONCATENATE(V933,"_",W933)</f>
        <v>014_Estaciones de bomberos adecuadas</v>
      </c>
      <c r="Y933" s="249" t="str">
        <f>CONCATENATE(U933," ",X933)</f>
        <v>08-Infraestructura física, mantenimiento y dotación (Sedes construidas, mantenidas reforzadas) 014_Estaciones de bomberos adecuadas</v>
      </c>
      <c r="Z933" s="262" t="str">
        <f>CONCATENATE(P933,Q933,R933,S933,V933)</f>
        <v>O23011745032024025508014</v>
      </c>
      <c r="AA933" s="262" t="str">
        <f>IFERROR(VLOOKUP(Y933,TD!$K$47:$L$65,2,0)," ")</f>
        <v>PM/0131/0108/45030140255</v>
      </c>
      <c r="AB933" s="164" t="s">
        <v>662</v>
      </c>
      <c r="AC933" s="263" t="s">
        <v>205</v>
      </c>
    </row>
    <row r="934" spans="2:29" ht="56" x14ac:dyDescent="0.35">
      <c r="B934" s="160">
        <v>20251021</v>
      </c>
      <c r="C934" s="165" t="s">
        <v>209</v>
      </c>
      <c r="D934" s="260" t="s">
        <v>166</v>
      </c>
      <c r="E934" s="51" t="s">
        <v>558</v>
      </c>
      <c r="F934" s="260" t="s">
        <v>1192</v>
      </c>
      <c r="G934" s="260" t="s">
        <v>155</v>
      </c>
      <c r="H934" s="161" t="s">
        <v>606</v>
      </c>
      <c r="I934" s="261">
        <v>10</v>
      </c>
      <c r="J934" s="261">
        <v>1</v>
      </c>
      <c r="K934" s="162">
        <v>3</v>
      </c>
      <c r="L934" s="164">
        <v>7700000</v>
      </c>
      <c r="M934" s="163" t="s">
        <v>464</v>
      </c>
      <c r="N934" s="164" t="s">
        <v>607</v>
      </c>
      <c r="O934" s="51" t="s">
        <v>228</v>
      </c>
      <c r="P934" s="262" t="str">
        <f>IFERROR(VLOOKUP(C934,TD!$B$33:$F$37,2,0)," ")</f>
        <v>O230117</v>
      </c>
      <c r="Q934" s="262" t="str">
        <f>IFERROR(VLOOKUP(C934,TD!$B$33:$F$37,3,0)," ")</f>
        <v>4503</v>
      </c>
      <c r="R934" s="262">
        <f>IFERROR(VLOOKUP(C934,TD!$B$33:$F$37,4,0)," ")</f>
        <v>20240255</v>
      </c>
      <c r="S934" s="51" t="s">
        <v>185</v>
      </c>
      <c r="T934" s="248" t="str">
        <f>IFERROR(VLOOKUP(S934,TD!$J$34:$K$44,2,0)," ")</f>
        <v>Infraestructura física, mantenimiento y dotación (Sedes construidas, mantenidas reforzadas)</v>
      </c>
      <c r="U934" s="249" t="str">
        <f>CONCATENATE(S934,"-",T934)</f>
        <v>08-Infraestructura física, mantenimiento y dotación (Sedes construidas, mantenidas reforzadas)</v>
      </c>
      <c r="V934" s="51" t="s">
        <v>237</v>
      </c>
      <c r="W934" s="248" t="str">
        <f>IFERROR(VLOOKUP(V934,TD!$N$34:$O$46,2,0)," ")</f>
        <v>Estaciones de bomberos construidas</v>
      </c>
      <c r="X934" s="249" t="str">
        <f>CONCATENATE(V934,"_",W934)</f>
        <v>015_Estaciones de bomberos construidas</v>
      </c>
      <c r="Y934" s="249" t="str">
        <f>CONCATENATE(U934," ",X934)</f>
        <v>08-Infraestructura física, mantenimiento y dotación (Sedes construidas, mantenidas reforzadas) 015_Estaciones de bomberos construidas</v>
      </c>
      <c r="Z934" s="262" t="str">
        <f>CONCATENATE(P934,Q934,R934,S934,V934)</f>
        <v>O23011745032024025508015</v>
      </c>
      <c r="AA934" s="262" t="str">
        <f>IFERROR(VLOOKUP(Y934,TD!$K$47:$L$65,2,0)," ")</f>
        <v>PM/0131/0108/45030150255</v>
      </c>
      <c r="AB934" s="164" t="s">
        <v>120</v>
      </c>
      <c r="AC934" s="263" t="s">
        <v>205</v>
      </c>
    </row>
    <row r="935" spans="2:29" ht="56" x14ac:dyDescent="0.35">
      <c r="B935" s="166">
        <v>20251022</v>
      </c>
      <c r="C935" s="165" t="s">
        <v>209</v>
      </c>
      <c r="D935" s="260" t="s">
        <v>166</v>
      </c>
      <c r="E935" s="51" t="s">
        <v>558</v>
      </c>
      <c r="F935" s="260" t="s">
        <v>1193</v>
      </c>
      <c r="G935" s="260" t="s">
        <v>155</v>
      </c>
      <c r="H935" s="161" t="s">
        <v>606</v>
      </c>
      <c r="I935" s="261">
        <v>10</v>
      </c>
      <c r="J935" s="261">
        <v>0</v>
      </c>
      <c r="K935" s="162">
        <v>22</v>
      </c>
      <c r="L935" s="164">
        <v>5133333</v>
      </c>
      <c r="M935" s="163" t="s">
        <v>464</v>
      </c>
      <c r="N935" s="164" t="s">
        <v>607</v>
      </c>
      <c r="O935" s="51" t="s">
        <v>230</v>
      </c>
      <c r="P935" s="262" t="str">
        <f>IFERROR(VLOOKUP(C935,TD!$B$33:$F$37,2,0)," ")</f>
        <v>O230117</v>
      </c>
      <c r="Q935" s="262" t="str">
        <f>IFERROR(VLOOKUP(C935,TD!$B$33:$F$37,3,0)," ")</f>
        <v>4503</v>
      </c>
      <c r="R935" s="262">
        <f>IFERROR(VLOOKUP(C935,TD!$B$33:$F$37,4,0)," ")</f>
        <v>20240255</v>
      </c>
      <c r="S935" s="51" t="s">
        <v>185</v>
      </c>
      <c r="T935" s="248" t="str">
        <f>IFERROR(VLOOKUP(S935,TD!$J$34:$K$44,2,0)," ")</f>
        <v>Infraestructura física, mantenimiento y dotación (Sedes construidas, mantenidas reforzadas)</v>
      </c>
      <c r="U935" s="249" t="str">
        <f>CONCATENATE(S935,"-",T935)</f>
        <v>08-Infraestructura física, mantenimiento y dotación (Sedes construidas, mantenidas reforzadas)</v>
      </c>
      <c r="V935" s="51" t="s">
        <v>294</v>
      </c>
      <c r="W935" s="248" t="str">
        <f>IFERROR(VLOOKUP(V935,TD!$N$34:$O$46,2,0)," ")</f>
        <v>Documentos de lineamientos técnicos</v>
      </c>
      <c r="X935" s="249" t="str">
        <f>CONCATENATE(V935,"_",W935)</f>
        <v>031__Documentos de lineamientos técnicos</v>
      </c>
      <c r="Y935" s="249" t="str">
        <f>CONCATENATE(U935," ",X935)</f>
        <v>08-Infraestructura física, mantenimiento y dotación (Sedes construidas, mantenidas reforzadas) 031__Documentos de lineamientos técnicos</v>
      </c>
      <c r="Z935" s="262" t="str">
        <f>CONCATENATE(P935,Q935,R935,S935,V935)</f>
        <v>O23011745032024025508031_</v>
      </c>
      <c r="AA935" s="262" t="str">
        <f>IFERROR(VLOOKUP(Y935,TD!$K$47:$L$65,2,0)," ")</f>
        <v>PM/0131/0108/45030310255</v>
      </c>
      <c r="AB935" s="164" t="s">
        <v>662</v>
      </c>
      <c r="AC935" s="263" t="s">
        <v>205</v>
      </c>
    </row>
    <row r="936" spans="2:29" ht="42" x14ac:dyDescent="0.35">
      <c r="B936" s="166">
        <v>20251023</v>
      </c>
      <c r="C936" s="165" t="s">
        <v>209</v>
      </c>
      <c r="D936" s="260" t="s">
        <v>166</v>
      </c>
      <c r="E936" s="51" t="s">
        <v>558</v>
      </c>
      <c r="F936" s="260" t="s">
        <v>1194</v>
      </c>
      <c r="G936" s="260" t="s">
        <v>155</v>
      </c>
      <c r="H936" s="161" t="s">
        <v>606</v>
      </c>
      <c r="I936" s="261">
        <v>10</v>
      </c>
      <c r="J936" s="261">
        <v>0</v>
      </c>
      <c r="K936" s="162">
        <v>22</v>
      </c>
      <c r="L936" s="164">
        <v>5500000</v>
      </c>
      <c r="M936" s="163" t="s">
        <v>464</v>
      </c>
      <c r="N936" s="164" t="s">
        <v>607</v>
      </c>
      <c r="O936" s="51" t="s">
        <v>227</v>
      </c>
      <c r="P936" s="262" t="str">
        <f>IFERROR(VLOOKUP(C936,TD!$B$33:$F$37,2,0)," ")</f>
        <v>O230117</v>
      </c>
      <c r="Q936" s="262" t="str">
        <f>IFERROR(VLOOKUP(C936,TD!$B$33:$F$37,3,0)," ")</f>
        <v>4503</v>
      </c>
      <c r="R936" s="262">
        <f>IFERROR(VLOOKUP(C936,TD!$B$33:$F$37,4,0)," ")</f>
        <v>20240255</v>
      </c>
      <c r="S936" s="51" t="s">
        <v>185</v>
      </c>
      <c r="T936" s="248" t="str">
        <f>IFERROR(VLOOKUP(S936,TD!$J$34:$K$44,2,0)," ")</f>
        <v>Infraestructura física, mantenimiento y dotación (Sedes construidas, mantenidas reforzadas)</v>
      </c>
      <c r="U936" s="249" t="str">
        <f>CONCATENATE(S936,"-",T936)</f>
        <v>08-Infraestructura física, mantenimiento y dotación (Sedes construidas, mantenidas reforzadas)</v>
      </c>
      <c r="V936" s="51" t="s">
        <v>236</v>
      </c>
      <c r="W936" s="248" t="str">
        <f>IFERROR(VLOOKUP(V936,TD!$N$34:$O$46,2,0)," ")</f>
        <v>Estaciones de bomberos adecuadas</v>
      </c>
      <c r="X936" s="249" t="str">
        <f>CONCATENATE(V936,"_",W936)</f>
        <v>014_Estaciones de bomberos adecuadas</v>
      </c>
      <c r="Y936" s="249" t="str">
        <f>CONCATENATE(U936," ",X936)</f>
        <v>08-Infraestructura física, mantenimiento y dotación (Sedes construidas, mantenidas reforzadas) 014_Estaciones de bomberos adecuadas</v>
      </c>
      <c r="Z936" s="262" t="str">
        <f>CONCATENATE(P936,Q936,R936,S936,V936)</f>
        <v>O23011745032024025508014</v>
      </c>
      <c r="AA936" s="262" t="str">
        <f>IFERROR(VLOOKUP(Y936,TD!$K$47:$L$65,2,0)," ")</f>
        <v>PM/0131/0108/45030140255</v>
      </c>
      <c r="AB936" s="164" t="s">
        <v>662</v>
      </c>
      <c r="AC936" s="263" t="s">
        <v>205</v>
      </c>
    </row>
    <row r="937" spans="2:29" ht="56" x14ac:dyDescent="0.35">
      <c r="B937" s="166">
        <v>20251024</v>
      </c>
      <c r="C937" s="165" t="s">
        <v>209</v>
      </c>
      <c r="D937" s="260" t="s">
        <v>166</v>
      </c>
      <c r="E937" s="51" t="s">
        <v>558</v>
      </c>
      <c r="F937" s="260" t="s">
        <v>1195</v>
      </c>
      <c r="G937" s="260" t="s">
        <v>155</v>
      </c>
      <c r="H937" s="161" t="s">
        <v>606</v>
      </c>
      <c r="I937" s="261">
        <v>10</v>
      </c>
      <c r="J937" s="261">
        <v>3</v>
      </c>
      <c r="K937" s="162">
        <v>0</v>
      </c>
      <c r="L937" s="164">
        <v>24000000</v>
      </c>
      <c r="M937" s="163" t="s">
        <v>464</v>
      </c>
      <c r="N937" s="164" t="s">
        <v>607</v>
      </c>
      <c r="O937" s="51" t="s">
        <v>227</v>
      </c>
      <c r="P937" s="262" t="str">
        <f>IFERROR(VLOOKUP(C937,TD!$B$33:$F$37,2,0)," ")</f>
        <v>O230117</v>
      </c>
      <c r="Q937" s="262" t="str">
        <f>IFERROR(VLOOKUP(C937,TD!$B$33:$F$37,3,0)," ")</f>
        <v>4503</v>
      </c>
      <c r="R937" s="262">
        <f>IFERROR(VLOOKUP(C937,TD!$B$33:$F$37,4,0)," ")</f>
        <v>20240255</v>
      </c>
      <c r="S937" s="51" t="s">
        <v>185</v>
      </c>
      <c r="T937" s="248" t="str">
        <f>IFERROR(VLOOKUP(S937,TD!$J$34:$K$44,2,0)," ")</f>
        <v>Infraestructura física, mantenimiento y dotación (Sedes construidas, mantenidas reforzadas)</v>
      </c>
      <c r="U937" s="249" t="str">
        <f>CONCATENATE(S937,"-",T937)</f>
        <v>08-Infraestructura física, mantenimiento y dotación (Sedes construidas, mantenidas reforzadas)</v>
      </c>
      <c r="V937" s="51" t="s">
        <v>236</v>
      </c>
      <c r="W937" s="248" t="str">
        <f>IFERROR(VLOOKUP(V937,TD!$N$34:$O$46,2,0)," ")</f>
        <v>Estaciones de bomberos adecuadas</v>
      </c>
      <c r="X937" s="249" t="str">
        <f>CONCATENATE(V937,"_",W937)</f>
        <v>014_Estaciones de bomberos adecuadas</v>
      </c>
      <c r="Y937" s="249" t="str">
        <f>CONCATENATE(U937," ",X937)</f>
        <v>08-Infraestructura física, mantenimiento y dotación (Sedes construidas, mantenidas reforzadas) 014_Estaciones de bomberos adecuadas</v>
      </c>
      <c r="Z937" s="262" t="str">
        <f>CONCATENATE(P937,Q937,R937,S937,V937)</f>
        <v>O23011745032024025508014</v>
      </c>
      <c r="AA937" s="262" t="str">
        <f>IFERROR(VLOOKUP(Y937,TD!$K$47:$L$65,2,0)," ")</f>
        <v>PM/0131/0108/45030140255</v>
      </c>
      <c r="AB937" s="164" t="s">
        <v>662</v>
      </c>
      <c r="AC937" s="263" t="s">
        <v>204</v>
      </c>
    </row>
    <row r="938" spans="2:29" ht="56" x14ac:dyDescent="0.35">
      <c r="B938" s="166">
        <v>20251025</v>
      </c>
      <c r="C938" s="165" t="s">
        <v>208</v>
      </c>
      <c r="D938" s="260" t="s">
        <v>46</v>
      </c>
      <c r="E938" s="264" t="s">
        <v>465</v>
      </c>
      <c r="F938" s="260" t="s">
        <v>469</v>
      </c>
      <c r="G938" s="260" t="s">
        <v>155</v>
      </c>
      <c r="H938" s="161">
        <v>80111600</v>
      </c>
      <c r="I938" s="261">
        <v>9</v>
      </c>
      <c r="J938" s="261">
        <v>3</v>
      </c>
      <c r="K938" s="162">
        <v>0</v>
      </c>
      <c r="L938" s="164">
        <v>21000000</v>
      </c>
      <c r="M938" s="163" t="s">
        <v>464</v>
      </c>
      <c r="N938" s="164" t="s">
        <v>113</v>
      </c>
      <c r="O938" s="51" t="s">
        <v>219</v>
      </c>
      <c r="P938" s="262" t="str">
        <f>IFERROR(VLOOKUP(C938,TD!$B$33:$F$37,2,0)," ")</f>
        <v>O230117</v>
      </c>
      <c r="Q938" s="262" t="str">
        <f>IFERROR(VLOOKUP(C938,TD!$B$33:$F$37,3,0)," ")</f>
        <v>4599</v>
      </c>
      <c r="R938" s="262">
        <f>IFERROR(VLOOKUP(C938,TD!$B$33:$F$37,4,0)," ")</f>
        <v>20240207</v>
      </c>
      <c r="S938" s="51" t="s">
        <v>185</v>
      </c>
      <c r="T938" s="248" t="str">
        <f>IFERROR(VLOOKUP(S938,TD!$J$34:$K$44,2,0)," ")</f>
        <v>Infraestructura física, mantenimiento y dotación (Sedes construidas, mantenidas reforzadas)</v>
      </c>
      <c r="U938" s="249" t="str">
        <f>CONCATENATE(S938,"-",T938)</f>
        <v>08-Infraestructura física, mantenimiento y dotación (Sedes construidas, mantenidas reforzadas)</v>
      </c>
      <c r="V938" s="51" t="s">
        <v>238</v>
      </c>
      <c r="W938" s="248" t="str">
        <f>IFERROR(VLOOKUP(V938,TD!$N$34:$O$46,2,0)," ")</f>
        <v>Sedes mantenidas</v>
      </c>
      <c r="X938" s="249" t="str">
        <f>CONCATENATE(V938,"_",W938)</f>
        <v>016_Sedes mantenidas</v>
      </c>
      <c r="Y938" s="249" t="str">
        <f>CONCATENATE(U938," ",X938)</f>
        <v>08-Infraestructura física, mantenimiento y dotación (Sedes construidas, mantenidas reforzadas) 016_Sedes mantenidas</v>
      </c>
      <c r="Z938" s="262" t="str">
        <f>CONCATENATE(P938,Q938,R938,S938,V938)</f>
        <v>O23011745992024020708016</v>
      </c>
      <c r="AA938" s="262" t="str">
        <f>IFERROR(VLOOKUP(Y938,TD!$K$47:$L$65,2,0)," ")</f>
        <v>PM/0131/0108/45990160207</v>
      </c>
      <c r="AB938" s="164" t="s">
        <v>120</v>
      </c>
      <c r="AC938" s="263" t="s">
        <v>204</v>
      </c>
    </row>
    <row r="939" spans="2:29" ht="56" x14ac:dyDescent="0.35">
      <c r="B939" s="132">
        <v>20251026</v>
      </c>
      <c r="C939" s="165" t="s">
        <v>208</v>
      </c>
      <c r="D939" s="260" t="s">
        <v>46</v>
      </c>
      <c r="E939" s="264" t="s">
        <v>465</v>
      </c>
      <c r="F939" s="260" t="s">
        <v>1196</v>
      </c>
      <c r="G939" s="260" t="s">
        <v>156</v>
      </c>
      <c r="H939" s="161">
        <v>80111600</v>
      </c>
      <c r="I939" s="261">
        <v>11</v>
      </c>
      <c r="J939" s="261">
        <v>2</v>
      </c>
      <c r="K939" s="162">
        <v>0</v>
      </c>
      <c r="L939" s="164">
        <v>5600000</v>
      </c>
      <c r="M939" s="163" t="s">
        <v>464</v>
      </c>
      <c r="N939" s="164" t="s">
        <v>113</v>
      </c>
      <c r="O939" s="51" t="s">
        <v>219</v>
      </c>
      <c r="P939" s="262" t="str">
        <f>IFERROR(VLOOKUP(C939,TD!$B$33:$F$37,2,0)," ")</f>
        <v>O230117</v>
      </c>
      <c r="Q939" s="262" t="str">
        <f>IFERROR(VLOOKUP(C939,TD!$B$33:$F$37,3,0)," ")</f>
        <v>4599</v>
      </c>
      <c r="R939" s="262">
        <f>IFERROR(VLOOKUP(C939,TD!$B$33:$F$37,4,0)," ")</f>
        <v>20240207</v>
      </c>
      <c r="S939" s="51" t="s">
        <v>185</v>
      </c>
      <c r="T939" s="248" t="str">
        <f>IFERROR(VLOOKUP(S939,TD!$J$34:$K$44,2,0)," ")</f>
        <v>Infraestructura física, mantenimiento y dotación (Sedes construidas, mantenidas reforzadas)</v>
      </c>
      <c r="U939" s="249" t="str">
        <f>CONCATENATE(S939,"-",T939)</f>
        <v>08-Infraestructura física, mantenimiento y dotación (Sedes construidas, mantenidas reforzadas)</v>
      </c>
      <c r="V939" s="51" t="s">
        <v>238</v>
      </c>
      <c r="W939" s="248" t="str">
        <f>IFERROR(VLOOKUP(V939,TD!$N$34:$O$46,2,0)," ")</f>
        <v>Sedes mantenidas</v>
      </c>
      <c r="X939" s="249" t="str">
        <f>CONCATENATE(V939,"_",W939)</f>
        <v>016_Sedes mantenidas</v>
      </c>
      <c r="Y939" s="249" t="str">
        <f>CONCATENATE(U939," ",X939)</f>
        <v>08-Infraestructura física, mantenimiento y dotación (Sedes construidas, mantenidas reforzadas) 016_Sedes mantenidas</v>
      </c>
      <c r="Z939" s="262" t="str">
        <f>CONCATENATE(P939,Q939,R939,S939,V939)</f>
        <v>O23011745992024020708016</v>
      </c>
      <c r="AA939" s="262" t="str">
        <f>IFERROR(VLOOKUP(Y939,TD!$K$47:$L$65,2,0)," ")</f>
        <v>PM/0131/0108/45990160207</v>
      </c>
      <c r="AB939" s="164" t="s">
        <v>138</v>
      </c>
      <c r="AC939" s="263" t="s">
        <v>204</v>
      </c>
    </row>
    <row r="940" spans="2:29" ht="56" x14ac:dyDescent="0.35">
      <c r="B940" s="166">
        <v>20251027</v>
      </c>
      <c r="C940" s="165" t="s">
        <v>209</v>
      </c>
      <c r="D940" s="260" t="s">
        <v>167</v>
      </c>
      <c r="E940" s="264" t="s">
        <v>505</v>
      </c>
      <c r="F940" s="260" t="s">
        <v>1198</v>
      </c>
      <c r="G940" s="260" t="s">
        <v>109</v>
      </c>
      <c r="H940" s="93" t="s">
        <v>1331</v>
      </c>
      <c r="I940" s="261">
        <v>10</v>
      </c>
      <c r="J940" s="261">
        <v>2</v>
      </c>
      <c r="K940" s="162">
        <v>0</v>
      </c>
      <c r="L940" s="164">
        <v>62319493</v>
      </c>
      <c r="M940" s="163" t="s">
        <v>464</v>
      </c>
      <c r="N940" s="164" t="s">
        <v>100</v>
      </c>
      <c r="O940" s="51" t="s">
        <v>221</v>
      </c>
      <c r="P940" s="262" t="str">
        <f>IFERROR(VLOOKUP(C940,TD!$B$33:$F$37,2,0)," ")</f>
        <v>O230117</v>
      </c>
      <c r="Q940" s="262" t="str">
        <f>IFERROR(VLOOKUP(C940,TD!$B$33:$F$37,3,0)," ")</f>
        <v>4503</v>
      </c>
      <c r="R940" s="262">
        <f>IFERROR(VLOOKUP(C940,TD!$B$33:$F$37,4,0)," ")</f>
        <v>20240255</v>
      </c>
      <c r="S940" s="51" t="s">
        <v>177</v>
      </c>
      <c r="T940" s="248" t="str">
        <f>IFERROR(VLOOKUP(S940,TD!$J$34:$K$44,2,0)," ")</f>
        <v>Servicio de capacitaciones en gestión del riesgo de incendios  a la ciudadania.</v>
      </c>
      <c r="U940" s="249" t="str">
        <f>CONCATENATE(S940,"-",T940)</f>
        <v>05-Servicio de capacitaciones en gestión del riesgo de incendios  a la ciudadania.</v>
      </c>
      <c r="V940" s="51" t="s">
        <v>234</v>
      </c>
      <c r="W940" s="248" t="str">
        <f>IFERROR(VLOOKUP(V940,TD!$N$34:$O$46,2,0)," ")</f>
        <v>Servicio prevención y control de incendios</v>
      </c>
      <c r="X940" s="249" t="str">
        <f>CONCATENATE(V940,"_",W940)</f>
        <v>035_Servicio prevención y control de incendios</v>
      </c>
      <c r="Y940" s="249" t="str">
        <f>CONCATENATE(U940," ",X940)</f>
        <v>05-Servicio de capacitaciones en gestión del riesgo de incendios  a la ciudadania. 035_Servicio prevención y control de incendios</v>
      </c>
      <c r="Z940" s="262" t="str">
        <f>CONCATENATE(P940,Q940,R940,S940,V940)</f>
        <v>O23011745032024025505035</v>
      </c>
      <c r="AA940" s="262" t="str">
        <f>IFERROR(VLOOKUP(Y940,TD!$K$47:$L$65,2,0)," ")</f>
        <v>PM/0131/0105/45030350255</v>
      </c>
      <c r="AB940" s="164" t="s">
        <v>138</v>
      </c>
      <c r="AC940" s="263" t="s">
        <v>204</v>
      </c>
    </row>
    <row r="941" spans="2:29" ht="56" x14ac:dyDescent="0.35">
      <c r="B941" s="166">
        <v>20251028</v>
      </c>
      <c r="C941" s="165" t="s">
        <v>209</v>
      </c>
      <c r="D941" s="260" t="s">
        <v>167</v>
      </c>
      <c r="E941" s="264" t="s">
        <v>505</v>
      </c>
      <c r="F941" s="260" t="s">
        <v>515</v>
      </c>
      <c r="G941" s="260" t="s">
        <v>155</v>
      </c>
      <c r="H941" s="161">
        <v>80111600</v>
      </c>
      <c r="I941" s="261">
        <v>10</v>
      </c>
      <c r="J941" s="261">
        <v>3</v>
      </c>
      <c r="K941" s="162">
        <v>0</v>
      </c>
      <c r="L941" s="164">
        <v>14000000</v>
      </c>
      <c r="M941" s="163" t="s">
        <v>464</v>
      </c>
      <c r="N941" s="164" t="s">
        <v>508</v>
      </c>
      <c r="O941" s="51" t="s">
        <v>225</v>
      </c>
      <c r="P941" s="262" t="str">
        <f>IFERROR(VLOOKUP(C941,TD!$B$33:$F$37,2,0)," ")</f>
        <v>O230117</v>
      </c>
      <c r="Q941" s="262" t="str">
        <f>IFERROR(VLOOKUP(C941,TD!$B$33:$F$37,3,0)," ")</f>
        <v>4503</v>
      </c>
      <c r="R941" s="262">
        <f>IFERROR(VLOOKUP(C941,TD!$B$33:$F$37,4,0)," ")</f>
        <v>20240255</v>
      </c>
      <c r="S941" s="51" t="s">
        <v>179</v>
      </c>
      <c r="T941" s="248" t="str">
        <f>IFERROR(VLOOKUP(S941,TD!$J$34:$K$44,2,0)," ")</f>
        <v>Infraestructura Tecnológica   (Sistemas de Información y Tecnologia)</v>
      </c>
      <c r="U941" s="249" t="str">
        <f>CONCATENATE(S941,"-",T941)</f>
        <v>11-Infraestructura Tecnológica   (Sistemas de Información y Tecnologia)</v>
      </c>
      <c r="V941" s="51" t="s">
        <v>235</v>
      </c>
      <c r="W941" s="248" t="str">
        <f>IFERROR(VLOOKUP(V941,TD!$N$34:$O$46,2,0)," ")</f>
        <v>"Servicio de monitoreo y seguimiento para la gestión del riesgo"</v>
      </c>
      <c r="X941" s="249" t="str">
        <f>CONCATENATE(V941,"_",W941)</f>
        <v>018_"Servicio de monitoreo y seguimiento para la gestión del riesgo"</v>
      </c>
      <c r="Y941" s="249" t="str">
        <f>CONCATENATE(U941," ",X941)</f>
        <v>11-Infraestructura Tecnológica   (Sistemas de Información y Tecnologia) 018_"Servicio de monitoreo y seguimiento para la gestión del riesgo"</v>
      </c>
      <c r="Z941" s="262" t="str">
        <f>CONCATENATE(P941,Q941,R941,S941,V941)</f>
        <v>O23011745032024025511018</v>
      </c>
      <c r="AA941" s="262" t="str">
        <f>IFERROR(VLOOKUP(Y941,TD!$K$47:$L$65,2,0)," ")</f>
        <v>PM/0131/0111/45030180255</v>
      </c>
      <c r="AB941" s="164" t="s">
        <v>138</v>
      </c>
      <c r="AC941" s="263" t="s">
        <v>204</v>
      </c>
    </row>
    <row r="942" spans="2:29" ht="56" x14ac:dyDescent="0.35">
      <c r="B942" s="166">
        <v>20251029</v>
      </c>
      <c r="C942" s="165" t="s">
        <v>209</v>
      </c>
      <c r="D942" s="260" t="s">
        <v>167</v>
      </c>
      <c r="E942" s="264" t="s">
        <v>505</v>
      </c>
      <c r="F942" s="260" t="s">
        <v>1199</v>
      </c>
      <c r="G942" s="260" t="s">
        <v>133</v>
      </c>
      <c r="H942" s="161" t="s">
        <v>1200</v>
      </c>
      <c r="I942" s="261">
        <v>10</v>
      </c>
      <c r="J942" s="261">
        <v>4</v>
      </c>
      <c r="K942" s="162">
        <v>0</v>
      </c>
      <c r="L942" s="164">
        <f>38683333-183333</f>
        <v>38500000</v>
      </c>
      <c r="M942" s="163" t="s">
        <v>464</v>
      </c>
      <c r="N942" s="164" t="s">
        <v>100</v>
      </c>
      <c r="O942" s="51" t="s">
        <v>221</v>
      </c>
      <c r="P942" s="262" t="str">
        <f>IFERROR(VLOOKUP(C942,TD!$B$33:$F$37,2,0)," ")</f>
        <v>O230117</v>
      </c>
      <c r="Q942" s="262" t="str">
        <f>IFERROR(VLOOKUP(C942,TD!$B$33:$F$37,3,0)," ")</f>
        <v>4503</v>
      </c>
      <c r="R942" s="262">
        <f>IFERROR(VLOOKUP(C942,TD!$B$33:$F$37,4,0)," ")</f>
        <v>20240255</v>
      </c>
      <c r="S942" s="51" t="s">
        <v>177</v>
      </c>
      <c r="T942" s="248" t="str">
        <f>IFERROR(VLOOKUP(S942,TD!$J$34:$K$44,2,0)," ")</f>
        <v>Servicio de capacitaciones en gestión del riesgo de incendios  a la ciudadania.</v>
      </c>
      <c r="U942" s="249" t="str">
        <f>CONCATENATE(S942,"-",T942)</f>
        <v>05-Servicio de capacitaciones en gestión del riesgo de incendios  a la ciudadania.</v>
      </c>
      <c r="V942" s="51" t="s">
        <v>234</v>
      </c>
      <c r="W942" s="248" t="str">
        <f>IFERROR(VLOOKUP(V942,TD!$N$34:$O$46,2,0)," ")</f>
        <v>Servicio prevención y control de incendios</v>
      </c>
      <c r="X942" s="249" t="str">
        <f>CONCATENATE(V942,"_",W942)</f>
        <v>035_Servicio prevención y control de incendios</v>
      </c>
      <c r="Y942" s="249" t="str">
        <f>CONCATENATE(U942," ",X942)</f>
        <v>05-Servicio de capacitaciones en gestión del riesgo de incendios  a la ciudadania. 035_Servicio prevención y control de incendios</v>
      </c>
      <c r="Z942" s="262" t="str">
        <f>CONCATENATE(P942,Q942,R942,S942,V942)</f>
        <v>O23011745032024025505035</v>
      </c>
      <c r="AA942" s="262" t="str">
        <f>IFERROR(VLOOKUP(Y942,TD!$K$47:$L$65,2,0)," ")</f>
        <v>PM/0131/0105/45030350255</v>
      </c>
      <c r="AB942" s="164" t="s">
        <v>138</v>
      </c>
      <c r="AC942" s="263" t="s">
        <v>204</v>
      </c>
    </row>
    <row r="943" spans="2:29" ht="56" x14ac:dyDescent="0.35">
      <c r="B943" s="166">
        <v>20251031</v>
      </c>
      <c r="C943" s="165" t="s">
        <v>209</v>
      </c>
      <c r="D943" s="260" t="s">
        <v>167</v>
      </c>
      <c r="E943" s="264" t="s">
        <v>505</v>
      </c>
      <c r="F943" s="260" t="s">
        <v>519</v>
      </c>
      <c r="G943" s="260" t="s">
        <v>156</v>
      </c>
      <c r="H943" s="161">
        <v>80111600</v>
      </c>
      <c r="I943" s="261">
        <v>11</v>
      </c>
      <c r="J943" s="261">
        <v>2</v>
      </c>
      <c r="K943" s="162">
        <v>0</v>
      </c>
      <c r="L943" s="164">
        <v>4800000</v>
      </c>
      <c r="M943" s="163" t="s">
        <v>464</v>
      </c>
      <c r="N943" s="164" t="s">
        <v>508</v>
      </c>
      <c r="O943" s="51" t="s">
        <v>221</v>
      </c>
      <c r="P943" s="262" t="str">
        <f>IFERROR(VLOOKUP(C943,TD!$B$33:$F$37,2,0)," ")</f>
        <v>O230117</v>
      </c>
      <c r="Q943" s="262" t="str">
        <f>IFERROR(VLOOKUP(C943,TD!$B$33:$F$37,3,0)," ")</f>
        <v>4503</v>
      </c>
      <c r="R943" s="262">
        <f>IFERROR(VLOOKUP(C943,TD!$B$33:$F$37,4,0)," ")</f>
        <v>20240255</v>
      </c>
      <c r="S943" s="51" t="s">
        <v>177</v>
      </c>
      <c r="T943" s="248" t="str">
        <f>IFERROR(VLOOKUP(S943,TD!$J$34:$K$44,2,0)," ")</f>
        <v>Servicio de capacitaciones en gestión del riesgo de incendios  a la ciudadania.</v>
      </c>
      <c r="U943" s="249" t="str">
        <f>CONCATENATE(S943,"-",T943)</f>
        <v>05-Servicio de capacitaciones en gestión del riesgo de incendios  a la ciudadania.</v>
      </c>
      <c r="V943" s="51" t="s">
        <v>234</v>
      </c>
      <c r="W943" s="248" t="str">
        <f>IFERROR(VLOOKUP(V943,TD!$N$34:$O$46,2,0)," ")</f>
        <v>Servicio prevención y control de incendios</v>
      </c>
      <c r="X943" s="249" t="str">
        <f>CONCATENATE(V943,"_",W943)</f>
        <v>035_Servicio prevención y control de incendios</v>
      </c>
      <c r="Y943" s="249" t="str">
        <f>CONCATENATE(U943," ",X943)</f>
        <v>05-Servicio de capacitaciones en gestión del riesgo de incendios  a la ciudadania. 035_Servicio prevención y control de incendios</v>
      </c>
      <c r="Z943" s="262" t="str">
        <f>CONCATENATE(P943,Q943,R943,S943,V943)</f>
        <v>O23011745032024025505035</v>
      </c>
      <c r="AA943" s="262" t="str">
        <f>IFERROR(VLOOKUP(Y943,TD!$K$47:$L$65,2,0)," ")</f>
        <v>PM/0131/0105/45030350255</v>
      </c>
      <c r="AB943" s="164" t="s">
        <v>138</v>
      </c>
      <c r="AC943" s="263" t="s">
        <v>204</v>
      </c>
    </row>
    <row r="944" spans="2:29" ht="56" x14ac:dyDescent="0.35">
      <c r="B944" s="166">
        <v>20251032</v>
      </c>
      <c r="C944" s="165" t="s">
        <v>209</v>
      </c>
      <c r="D944" s="260" t="s">
        <v>167</v>
      </c>
      <c r="E944" s="264" t="s">
        <v>505</v>
      </c>
      <c r="F944" s="260" t="s">
        <v>519</v>
      </c>
      <c r="G944" s="260" t="s">
        <v>156</v>
      </c>
      <c r="H944" s="161">
        <v>80111600</v>
      </c>
      <c r="I944" s="261">
        <v>11</v>
      </c>
      <c r="J944" s="261">
        <v>2</v>
      </c>
      <c r="K944" s="162">
        <v>0</v>
      </c>
      <c r="L944" s="164">
        <v>4800000</v>
      </c>
      <c r="M944" s="163" t="s">
        <v>464</v>
      </c>
      <c r="N944" s="164" t="s">
        <v>508</v>
      </c>
      <c r="O944" s="51" t="s">
        <v>221</v>
      </c>
      <c r="P944" s="262" t="str">
        <f>IFERROR(VLOOKUP(C944,TD!$B$33:$F$37,2,0)," ")</f>
        <v>O230117</v>
      </c>
      <c r="Q944" s="262" t="str">
        <f>IFERROR(VLOOKUP(C944,TD!$B$33:$F$37,3,0)," ")</f>
        <v>4503</v>
      </c>
      <c r="R944" s="262">
        <f>IFERROR(VLOOKUP(C944,TD!$B$33:$F$37,4,0)," ")</f>
        <v>20240255</v>
      </c>
      <c r="S944" s="51" t="s">
        <v>177</v>
      </c>
      <c r="T944" s="248" t="str">
        <f>IFERROR(VLOOKUP(S944,TD!$J$34:$K$44,2,0)," ")</f>
        <v>Servicio de capacitaciones en gestión del riesgo de incendios  a la ciudadania.</v>
      </c>
      <c r="U944" s="249" t="str">
        <f>CONCATENATE(S944,"-",T944)</f>
        <v>05-Servicio de capacitaciones en gestión del riesgo de incendios  a la ciudadania.</v>
      </c>
      <c r="V944" s="51" t="s">
        <v>234</v>
      </c>
      <c r="W944" s="248" t="str">
        <f>IFERROR(VLOOKUP(V944,TD!$N$34:$O$46,2,0)," ")</f>
        <v>Servicio prevención y control de incendios</v>
      </c>
      <c r="X944" s="249" t="str">
        <f>CONCATENATE(V944,"_",W944)</f>
        <v>035_Servicio prevención y control de incendios</v>
      </c>
      <c r="Y944" s="249" t="str">
        <f>CONCATENATE(U944," ",X944)</f>
        <v>05-Servicio de capacitaciones en gestión del riesgo de incendios  a la ciudadania. 035_Servicio prevención y control de incendios</v>
      </c>
      <c r="Z944" s="262" t="str">
        <f>CONCATENATE(P944,Q944,R944,S944,V944)</f>
        <v>O23011745032024025505035</v>
      </c>
      <c r="AA944" s="262" t="str">
        <f>IFERROR(VLOOKUP(Y944,TD!$K$47:$L$65,2,0)," ")</f>
        <v>PM/0131/0105/45030350255</v>
      </c>
      <c r="AB944" s="164" t="s">
        <v>138</v>
      </c>
      <c r="AC944" s="263" t="s">
        <v>204</v>
      </c>
    </row>
    <row r="945" spans="2:29" ht="56" x14ac:dyDescent="0.35">
      <c r="B945" s="166">
        <v>20251033</v>
      </c>
      <c r="C945" s="165" t="s">
        <v>209</v>
      </c>
      <c r="D945" s="260" t="s">
        <v>167</v>
      </c>
      <c r="E945" s="264" t="s">
        <v>505</v>
      </c>
      <c r="F945" s="260" t="s">
        <v>519</v>
      </c>
      <c r="G945" s="260" t="s">
        <v>156</v>
      </c>
      <c r="H945" s="161">
        <v>80111600</v>
      </c>
      <c r="I945" s="261">
        <v>11</v>
      </c>
      <c r="J945" s="261">
        <v>2</v>
      </c>
      <c r="K945" s="162">
        <v>0</v>
      </c>
      <c r="L945" s="164">
        <v>4800000</v>
      </c>
      <c r="M945" s="163" t="s">
        <v>464</v>
      </c>
      <c r="N945" s="164" t="s">
        <v>508</v>
      </c>
      <c r="O945" s="51" t="s">
        <v>221</v>
      </c>
      <c r="P945" s="262" t="str">
        <f>IFERROR(VLOOKUP(C945,TD!$B$33:$F$37,2,0)," ")</f>
        <v>O230117</v>
      </c>
      <c r="Q945" s="262" t="str">
        <f>IFERROR(VLOOKUP(C945,TD!$B$33:$F$37,3,0)," ")</f>
        <v>4503</v>
      </c>
      <c r="R945" s="262">
        <f>IFERROR(VLOOKUP(C945,TD!$B$33:$F$37,4,0)," ")</f>
        <v>20240255</v>
      </c>
      <c r="S945" s="51" t="s">
        <v>177</v>
      </c>
      <c r="T945" s="248" t="str">
        <f>IFERROR(VLOOKUP(S945,TD!$J$34:$K$44,2,0)," ")</f>
        <v>Servicio de capacitaciones en gestión del riesgo de incendios  a la ciudadania.</v>
      </c>
      <c r="U945" s="249" t="str">
        <f>CONCATENATE(S945,"-",T945)</f>
        <v>05-Servicio de capacitaciones en gestión del riesgo de incendios  a la ciudadania.</v>
      </c>
      <c r="V945" s="51" t="s">
        <v>234</v>
      </c>
      <c r="W945" s="248" t="str">
        <f>IFERROR(VLOOKUP(V945,TD!$N$34:$O$46,2,0)," ")</f>
        <v>Servicio prevención y control de incendios</v>
      </c>
      <c r="X945" s="249" t="str">
        <f>CONCATENATE(V945,"_",W945)</f>
        <v>035_Servicio prevención y control de incendios</v>
      </c>
      <c r="Y945" s="249" t="str">
        <f>CONCATENATE(U945," ",X945)</f>
        <v>05-Servicio de capacitaciones en gestión del riesgo de incendios  a la ciudadania. 035_Servicio prevención y control de incendios</v>
      </c>
      <c r="Z945" s="262" t="str">
        <f>CONCATENATE(P945,Q945,R945,S945,V945)</f>
        <v>O23011745032024025505035</v>
      </c>
      <c r="AA945" s="262" t="str">
        <f>IFERROR(VLOOKUP(Y945,TD!$K$47:$L$65,2,0)," ")</f>
        <v>PM/0131/0105/45030350255</v>
      </c>
      <c r="AB945" s="164" t="s">
        <v>138</v>
      </c>
      <c r="AC945" s="263" t="s">
        <v>204</v>
      </c>
    </row>
    <row r="946" spans="2:29" ht="56" x14ac:dyDescent="0.35">
      <c r="B946" s="166">
        <v>20251034</v>
      </c>
      <c r="C946" s="165" t="s">
        <v>209</v>
      </c>
      <c r="D946" s="260" t="s">
        <v>167</v>
      </c>
      <c r="E946" s="264" t="s">
        <v>505</v>
      </c>
      <c r="F946" s="260" t="s">
        <v>519</v>
      </c>
      <c r="G946" s="260" t="s">
        <v>156</v>
      </c>
      <c r="H946" s="161">
        <v>80111600</v>
      </c>
      <c r="I946" s="261">
        <v>11</v>
      </c>
      <c r="J946" s="261">
        <v>2</v>
      </c>
      <c r="K946" s="162">
        <v>0</v>
      </c>
      <c r="L946" s="164">
        <v>4800000</v>
      </c>
      <c r="M946" s="163" t="s">
        <v>464</v>
      </c>
      <c r="N946" s="164" t="s">
        <v>508</v>
      </c>
      <c r="O946" s="51" t="s">
        <v>221</v>
      </c>
      <c r="P946" s="262" t="str">
        <f>IFERROR(VLOOKUP(C946,TD!$B$33:$F$37,2,0)," ")</f>
        <v>O230117</v>
      </c>
      <c r="Q946" s="262" t="str">
        <f>IFERROR(VLOOKUP(C946,TD!$B$33:$F$37,3,0)," ")</f>
        <v>4503</v>
      </c>
      <c r="R946" s="262">
        <f>IFERROR(VLOOKUP(C946,TD!$B$33:$F$37,4,0)," ")</f>
        <v>20240255</v>
      </c>
      <c r="S946" s="51" t="s">
        <v>177</v>
      </c>
      <c r="T946" s="248" t="str">
        <f>IFERROR(VLOOKUP(S946,TD!$J$34:$K$44,2,0)," ")</f>
        <v>Servicio de capacitaciones en gestión del riesgo de incendios  a la ciudadania.</v>
      </c>
      <c r="U946" s="249" t="str">
        <f>CONCATENATE(S946,"-",T946)</f>
        <v>05-Servicio de capacitaciones en gestión del riesgo de incendios  a la ciudadania.</v>
      </c>
      <c r="V946" s="51" t="s">
        <v>234</v>
      </c>
      <c r="W946" s="248" t="str">
        <f>IFERROR(VLOOKUP(V946,TD!$N$34:$O$46,2,0)," ")</f>
        <v>Servicio prevención y control de incendios</v>
      </c>
      <c r="X946" s="249" t="str">
        <f>CONCATENATE(V946,"_",W946)</f>
        <v>035_Servicio prevención y control de incendios</v>
      </c>
      <c r="Y946" s="249" t="str">
        <f>CONCATENATE(U946," ",X946)</f>
        <v>05-Servicio de capacitaciones en gestión del riesgo de incendios  a la ciudadania. 035_Servicio prevención y control de incendios</v>
      </c>
      <c r="Z946" s="262" t="str">
        <f>CONCATENATE(P946,Q946,R946,S946,V946)</f>
        <v>O23011745032024025505035</v>
      </c>
      <c r="AA946" s="262" t="str">
        <f>IFERROR(VLOOKUP(Y946,TD!$K$47:$L$65,2,0)," ")</f>
        <v>PM/0131/0105/45030350255</v>
      </c>
      <c r="AB946" s="164" t="s">
        <v>138</v>
      </c>
      <c r="AC946" s="263" t="s">
        <v>204</v>
      </c>
    </row>
    <row r="947" spans="2:29" ht="56" x14ac:dyDescent="0.35">
      <c r="B947" s="166">
        <v>20251035</v>
      </c>
      <c r="C947" s="165" t="s">
        <v>209</v>
      </c>
      <c r="D947" s="260" t="s">
        <v>167</v>
      </c>
      <c r="E947" s="264" t="s">
        <v>505</v>
      </c>
      <c r="F947" s="260" t="s">
        <v>519</v>
      </c>
      <c r="G947" s="260" t="s">
        <v>156</v>
      </c>
      <c r="H947" s="161">
        <v>80111600</v>
      </c>
      <c r="I947" s="261">
        <v>11</v>
      </c>
      <c r="J947" s="261">
        <v>2</v>
      </c>
      <c r="K947" s="162">
        <v>0</v>
      </c>
      <c r="L947" s="164">
        <v>4800000</v>
      </c>
      <c r="M947" s="163" t="s">
        <v>464</v>
      </c>
      <c r="N947" s="164" t="s">
        <v>508</v>
      </c>
      <c r="O947" s="51" t="s">
        <v>221</v>
      </c>
      <c r="P947" s="262" t="str">
        <f>IFERROR(VLOOKUP(C947,TD!$B$33:$F$37,2,0)," ")</f>
        <v>O230117</v>
      </c>
      <c r="Q947" s="262" t="str">
        <f>IFERROR(VLOOKUP(C947,TD!$B$33:$F$37,3,0)," ")</f>
        <v>4503</v>
      </c>
      <c r="R947" s="262">
        <f>IFERROR(VLOOKUP(C947,TD!$B$33:$F$37,4,0)," ")</f>
        <v>20240255</v>
      </c>
      <c r="S947" s="51" t="s">
        <v>177</v>
      </c>
      <c r="T947" s="248" t="str">
        <f>IFERROR(VLOOKUP(S947,TD!$J$34:$K$44,2,0)," ")</f>
        <v>Servicio de capacitaciones en gestión del riesgo de incendios  a la ciudadania.</v>
      </c>
      <c r="U947" s="249" t="str">
        <f>CONCATENATE(S947,"-",T947)</f>
        <v>05-Servicio de capacitaciones en gestión del riesgo de incendios  a la ciudadania.</v>
      </c>
      <c r="V947" s="51" t="s">
        <v>234</v>
      </c>
      <c r="W947" s="248" t="str">
        <f>IFERROR(VLOOKUP(V947,TD!$N$34:$O$46,2,0)," ")</f>
        <v>Servicio prevención y control de incendios</v>
      </c>
      <c r="X947" s="249" t="str">
        <f>CONCATENATE(V947,"_",W947)</f>
        <v>035_Servicio prevención y control de incendios</v>
      </c>
      <c r="Y947" s="249" t="str">
        <f>CONCATENATE(U947," ",X947)</f>
        <v>05-Servicio de capacitaciones en gestión del riesgo de incendios  a la ciudadania. 035_Servicio prevención y control de incendios</v>
      </c>
      <c r="Z947" s="262" t="str">
        <f>CONCATENATE(P947,Q947,R947,S947,V947)</f>
        <v>O23011745032024025505035</v>
      </c>
      <c r="AA947" s="262" t="str">
        <f>IFERROR(VLOOKUP(Y947,TD!$K$47:$L$65,2,0)," ")</f>
        <v>PM/0131/0105/45030350255</v>
      </c>
      <c r="AB947" s="164" t="s">
        <v>138</v>
      </c>
      <c r="AC947" s="263" t="s">
        <v>204</v>
      </c>
    </row>
    <row r="948" spans="2:29" ht="56" x14ac:dyDescent="0.35">
      <c r="B948" s="166">
        <v>20251036</v>
      </c>
      <c r="C948" s="165" t="s">
        <v>209</v>
      </c>
      <c r="D948" s="260" t="s">
        <v>167</v>
      </c>
      <c r="E948" s="264" t="s">
        <v>505</v>
      </c>
      <c r="F948" s="260" t="s">
        <v>519</v>
      </c>
      <c r="G948" s="260" t="s">
        <v>156</v>
      </c>
      <c r="H948" s="161">
        <v>80111600</v>
      </c>
      <c r="I948" s="261">
        <v>11</v>
      </c>
      <c r="J948" s="261">
        <v>2</v>
      </c>
      <c r="K948" s="162">
        <v>0</v>
      </c>
      <c r="L948" s="164">
        <v>4800000</v>
      </c>
      <c r="M948" s="163" t="s">
        <v>464</v>
      </c>
      <c r="N948" s="164" t="s">
        <v>508</v>
      </c>
      <c r="O948" s="51" t="s">
        <v>221</v>
      </c>
      <c r="P948" s="262" t="str">
        <f>IFERROR(VLOOKUP(C948,TD!$B$33:$F$37,2,0)," ")</f>
        <v>O230117</v>
      </c>
      <c r="Q948" s="262" t="str">
        <f>IFERROR(VLOOKUP(C948,TD!$B$33:$F$37,3,0)," ")</f>
        <v>4503</v>
      </c>
      <c r="R948" s="262">
        <f>IFERROR(VLOOKUP(C948,TD!$B$33:$F$37,4,0)," ")</f>
        <v>20240255</v>
      </c>
      <c r="S948" s="51" t="s">
        <v>177</v>
      </c>
      <c r="T948" s="248" t="str">
        <f>IFERROR(VLOOKUP(S948,TD!$J$34:$K$44,2,0)," ")</f>
        <v>Servicio de capacitaciones en gestión del riesgo de incendios  a la ciudadania.</v>
      </c>
      <c r="U948" s="249" t="str">
        <f>CONCATENATE(S948,"-",T948)</f>
        <v>05-Servicio de capacitaciones en gestión del riesgo de incendios  a la ciudadania.</v>
      </c>
      <c r="V948" s="51" t="s">
        <v>234</v>
      </c>
      <c r="W948" s="248" t="str">
        <f>IFERROR(VLOOKUP(V948,TD!$N$34:$O$46,2,0)," ")</f>
        <v>Servicio prevención y control de incendios</v>
      </c>
      <c r="X948" s="249" t="str">
        <f>CONCATENATE(V948,"_",W948)</f>
        <v>035_Servicio prevención y control de incendios</v>
      </c>
      <c r="Y948" s="249" t="str">
        <f>CONCATENATE(U948," ",X948)</f>
        <v>05-Servicio de capacitaciones en gestión del riesgo de incendios  a la ciudadania. 035_Servicio prevención y control de incendios</v>
      </c>
      <c r="Z948" s="262" t="str">
        <f>CONCATENATE(P948,Q948,R948,S948,V948)</f>
        <v>O23011745032024025505035</v>
      </c>
      <c r="AA948" s="262" t="str">
        <f>IFERROR(VLOOKUP(Y948,TD!$K$47:$L$65,2,0)," ")</f>
        <v>PM/0131/0105/45030350255</v>
      </c>
      <c r="AB948" s="164" t="s">
        <v>138</v>
      </c>
      <c r="AC948" s="263" t="s">
        <v>204</v>
      </c>
    </row>
    <row r="949" spans="2:29" ht="98" x14ac:dyDescent="0.35">
      <c r="B949" s="166">
        <v>20251037</v>
      </c>
      <c r="C949" s="236" t="s">
        <v>209</v>
      </c>
      <c r="D949" s="324" t="s">
        <v>167</v>
      </c>
      <c r="E949" s="328" t="s">
        <v>505</v>
      </c>
      <c r="F949" s="324" t="s">
        <v>519</v>
      </c>
      <c r="G949" s="324" t="s">
        <v>156</v>
      </c>
      <c r="H949" s="168">
        <v>80111600</v>
      </c>
      <c r="I949" s="325">
        <v>11</v>
      </c>
      <c r="J949" s="325">
        <v>2</v>
      </c>
      <c r="K949" s="171">
        <v>0</v>
      </c>
      <c r="L949" s="175">
        <v>4800000</v>
      </c>
      <c r="M949" s="173" t="s">
        <v>464</v>
      </c>
      <c r="N949" s="175" t="s">
        <v>508</v>
      </c>
      <c r="O949" s="51" t="s">
        <v>221</v>
      </c>
      <c r="P949" s="326" t="str">
        <f>IFERROR(VLOOKUP(C949,TD!$B$33:$F$37,2,0)," ")</f>
        <v>O230117</v>
      </c>
      <c r="Q949" s="326" t="str">
        <f>IFERROR(VLOOKUP(C949,TD!$B$33:$F$37,3,0)," ")</f>
        <v>4503</v>
      </c>
      <c r="R949" s="326">
        <f>IFERROR(VLOOKUP(C949,TD!$B$33:$F$37,4,0)," ")</f>
        <v>20240255</v>
      </c>
      <c r="S949" s="51" t="s">
        <v>177</v>
      </c>
      <c r="T949" s="248" t="str">
        <f>IFERROR(VLOOKUP(S949,TD!$J$34:$K$44,2,0)," ")</f>
        <v>Servicio de capacitaciones en gestión del riesgo de incendios  a la ciudadania.</v>
      </c>
      <c r="U949" s="249" t="str">
        <f>CONCATENATE(S949,"-",T949)</f>
        <v>05-Servicio de capacitaciones en gestión del riesgo de incendios  a la ciudadania.</v>
      </c>
      <c r="V949" s="51" t="s">
        <v>234</v>
      </c>
      <c r="W949" s="248" t="str">
        <f>IFERROR(VLOOKUP(V949,TD!$N$34:$O$46,2,0)," ")</f>
        <v>Servicio prevención y control de incendios</v>
      </c>
      <c r="X949" s="296" t="str">
        <f>CONCATENATE(V949,"_",W949)</f>
        <v>035_Servicio prevención y control de incendios</v>
      </c>
      <c r="Y949" s="296" t="str">
        <f>CONCATENATE(U949," ",X949)</f>
        <v>05-Servicio de capacitaciones en gestión del riesgo de incendios  a la ciudadania. 035_Servicio prevención y control de incendios</v>
      </c>
      <c r="Z949" s="326" t="str">
        <f>CONCATENATE(P949,Q949,R949,S949,V949)</f>
        <v>O23011745032024025505035</v>
      </c>
      <c r="AA949" s="326" t="str">
        <f>IFERROR(VLOOKUP(Y949,TD!$K$47:$L$65,2,0)," ")</f>
        <v>PM/0131/0105/45030350255</v>
      </c>
      <c r="AB949" s="164" t="s">
        <v>138</v>
      </c>
      <c r="AC949" s="327" t="s">
        <v>204</v>
      </c>
    </row>
    <row r="950" spans="2:29" ht="84" x14ac:dyDescent="0.35">
      <c r="B950" s="166">
        <v>20251039</v>
      </c>
      <c r="C950" s="236" t="s">
        <v>209</v>
      </c>
      <c r="D950" s="324" t="s">
        <v>167</v>
      </c>
      <c r="E950" s="328" t="s">
        <v>505</v>
      </c>
      <c r="F950" s="324" t="s">
        <v>519</v>
      </c>
      <c r="G950" s="324" t="s">
        <v>156</v>
      </c>
      <c r="H950" s="168">
        <v>80111600</v>
      </c>
      <c r="I950" s="325">
        <v>11</v>
      </c>
      <c r="J950" s="325">
        <v>2</v>
      </c>
      <c r="K950" s="171">
        <v>0</v>
      </c>
      <c r="L950" s="175">
        <v>4800000</v>
      </c>
      <c r="M950" s="173" t="s">
        <v>464</v>
      </c>
      <c r="N950" s="175" t="s">
        <v>508</v>
      </c>
      <c r="O950" s="51" t="s">
        <v>221</v>
      </c>
      <c r="P950" s="326" t="str">
        <f>IFERROR(VLOOKUP(C950,TD!$B$33:$F$37,2,0)," ")</f>
        <v>O230117</v>
      </c>
      <c r="Q950" s="326" t="str">
        <f>IFERROR(VLOOKUP(C950,TD!$B$33:$F$37,3,0)," ")</f>
        <v>4503</v>
      </c>
      <c r="R950" s="326">
        <f>IFERROR(VLOOKUP(C950,TD!$B$33:$F$37,4,0)," ")</f>
        <v>20240255</v>
      </c>
      <c r="S950" s="51" t="s">
        <v>177</v>
      </c>
      <c r="T950" s="248" t="str">
        <f>IFERROR(VLOOKUP(S950,TD!$J$34:$K$44,2,0)," ")</f>
        <v>Servicio de capacitaciones en gestión del riesgo de incendios  a la ciudadania.</v>
      </c>
      <c r="U950" s="249" t="str">
        <f>CONCATENATE(S950,"-",T950)</f>
        <v>05-Servicio de capacitaciones en gestión del riesgo de incendios  a la ciudadania.</v>
      </c>
      <c r="V950" s="51" t="s">
        <v>234</v>
      </c>
      <c r="W950" s="248" t="str">
        <f>IFERROR(VLOOKUP(V950,TD!$N$34:$O$46,2,0)," ")</f>
        <v>Servicio prevención y control de incendios</v>
      </c>
      <c r="X950" s="296" t="str">
        <f>CONCATENATE(V950,"_",W950)</f>
        <v>035_Servicio prevención y control de incendios</v>
      </c>
      <c r="Y950" s="296" t="str">
        <f>CONCATENATE(U950," ",X950)</f>
        <v>05-Servicio de capacitaciones en gestión del riesgo de incendios  a la ciudadania. 035_Servicio prevención y control de incendios</v>
      </c>
      <c r="Z950" s="326" t="str">
        <f>CONCATENATE(P950,Q950,R950,S950,V950)</f>
        <v>O23011745032024025505035</v>
      </c>
      <c r="AA950" s="326" t="str">
        <f>IFERROR(VLOOKUP(Y950,TD!$K$47:$L$65,2,0)," ")</f>
        <v>PM/0131/0105/45030350255</v>
      </c>
      <c r="AB950" s="164" t="s">
        <v>138</v>
      </c>
      <c r="AC950" s="327" t="s">
        <v>204</v>
      </c>
    </row>
    <row r="951" spans="2:29" ht="42" x14ac:dyDescent="0.35">
      <c r="B951" s="160">
        <v>20251040</v>
      </c>
      <c r="C951" s="165" t="s">
        <v>209</v>
      </c>
      <c r="D951" s="260" t="s">
        <v>167</v>
      </c>
      <c r="E951" s="264" t="s">
        <v>505</v>
      </c>
      <c r="F951" s="260" t="s">
        <v>519</v>
      </c>
      <c r="G951" s="260" t="s">
        <v>156</v>
      </c>
      <c r="H951" s="161">
        <v>80111600</v>
      </c>
      <c r="I951" s="261">
        <v>11</v>
      </c>
      <c r="J951" s="261">
        <v>2</v>
      </c>
      <c r="K951" s="162">
        <v>0</v>
      </c>
      <c r="L951" s="164">
        <v>4800000</v>
      </c>
      <c r="M951" s="163" t="s">
        <v>464</v>
      </c>
      <c r="N951" s="164" t="s">
        <v>508</v>
      </c>
      <c r="O951" s="51" t="s">
        <v>221</v>
      </c>
      <c r="P951" s="262" t="str">
        <f>IFERROR(VLOOKUP(C951,TD!$B$33:$F$37,2,0)," ")</f>
        <v>O230117</v>
      </c>
      <c r="Q951" s="262" t="str">
        <f>IFERROR(VLOOKUP(C951,TD!$B$33:$F$37,3,0)," ")</f>
        <v>4503</v>
      </c>
      <c r="R951" s="262">
        <f>IFERROR(VLOOKUP(C951,TD!$B$33:$F$37,4,0)," ")</f>
        <v>20240255</v>
      </c>
      <c r="S951" s="51" t="s">
        <v>177</v>
      </c>
      <c r="T951" s="248" t="str">
        <f>IFERROR(VLOOKUP(S951,TD!$J$34:$K$44,2,0)," ")</f>
        <v>Servicio de capacitaciones en gestión del riesgo de incendios  a la ciudadania.</v>
      </c>
      <c r="U951" s="249" t="str">
        <f>CONCATENATE(S951,"-",T951)</f>
        <v>05-Servicio de capacitaciones en gestión del riesgo de incendios  a la ciudadania.</v>
      </c>
      <c r="V951" s="51" t="s">
        <v>234</v>
      </c>
      <c r="W951" s="248" t="str">
        <f>IFERROR(VLOOKUP(V951,TD!$N$34:$O$46,2,0)," ")</f>
        <v>Servicio prevención y control de incendios</v>
      </c>
      <c r="X951" s="249" t="str">
        <f>CONCATENATE(V951,"_",W951)</f>
        <v>035_Servicio prevención y control de incendios</v>
      </c>
      <c r="Y951" s="249" t="str">
        <f>CONCATENATE(U951," ",X951)</f>
        <v>05-Servicio de capacitaciones en gestión del riesgo de incendios  a la ciudadania. 035_Servicio prevención y control de incendios</v>
      </c>
      <c r="Z951" s="262" t="str">
        <f>CONCATENATE(P951,Q951,R951,S951,V951)</f>
        <v>O23011745032024025505035</v>
      </c>
      <c r="AA951" s="262" t="str">
        <f>IFERROR(VLOOKUP(Y951,TD!$K$47:$L$65,2,0)," ")</f>
        <v>PM/0131/0105/45030350255</v>
      </c>
      <c r="AB951" s="164" t="s">
        <v>138</v>
      </c>
      <c r="AC951" s="263" t="s">
        <v>204</v>
      </c>
    </row>
    <row r="952" spans="2:29" ht="56" x14ac:dyDescent="0.35">
      <c r="B952" s="166">
        <v>20251043</v>
      </c>
      <c r="C952" s="165" t="s">
        <v>209</v>
      </c>
      <c r="D952" s="260" t="s">
        <v>167</v>
      </c>
      <c r="E952" s="264" t="s">
        <v>505</v>
      </c>
      <c r="F952" s="324" t="s">
        <v>519</v>
      </c>
      <c r="G952" s="324" t="s">
        <v>156</v>
      </c>
      <c r="H952" s="168">
        <v>80111600</v>
      </c>
      <c r="I952" s="325">
        <v>11</v>
      </c>
      <c r="J952" s="325">
        <v>2</v>
      </c>
      <c r="K952" s="171">
        <v>0</v>
      </c>
      <c r="L952" s="175">
        <v>4800000</v>
      </c>
      <c r="M952" s="173" t="s">
        <v>464</v>
      </c>
      <c r="N952" s="175" t="s">
        <v>508</v>
      </c>
      <c r="O952" s="51" t="s">
        <v>221</v>
      </c>
      <c r="P952" s="326" t="str">
        <f>IFERROR(VLOOKUP(C952,TD!$B$33:$F$37,2,0)," ")</f>
        <v>O230117</v>
      </c>
      <c r="Q952" s="326" t="str">
        <f>IFERROR(VLOOKUP(C952,TD!$B$33:$F$37,3,0)," ")</f>
        <v>4503</v>
      </c>
      <c r="R952" s="326">
        <f>IFERROR(VLOOKUP(C952,TD!$B$33:$F$37,4,0)," ")</f>
        <v>20240255</v>
      </c>
      <c r="S952" s="51" t="s">
        <v>177</v>
      </c>
      <c r="T952" s="248" t="str">
        <f>IFERROR(VLOOKUP(S952,TD!$J$34:$K$44,2,0)," ")</f>
        <v>Servicio de capacitaciones en gestión del riesgo de incendios  a la ciudadania.</v>
      </c>
      <c r="U952" s="249" t="str">
        <f>CONCATENATE(S952,"-",T952)</f>
        <v>05-Servicio de capacitaciones en gestión del riesgo de incendios  a la ciudadania.</v>
      </c>
      <c r="V952" s="51" t="s">
        <v>234</v>
      </c>
      <c r="W952" s="248" t="str">
        <f>IFERROR(VLOOKUP(V952,TD!$N$34:$O$46,2,0)," ")</f>
        <v>Servicio prevención y control de incendios</v>
      </c>
      <c r="X952" s="296" t="str">
        <f>CONCATENATE(V952,"_",W952)</f>
        <v>035_Servicio prevención y control de incendios</v>
      </c>
      <c r="Y952" s="296" t="str">
        <f>CONCATENATE(U952," ",X952)</f>
        <v>05-Servicio de capacitaciones en gestión del riesgo de incendios  a la ciudadania. 035_Servicio prevención y control de incendios</v>
      </c>
      <c r="Z952" s="326" t="str">
        <f>CONCATENATE(P952,Q952,R952,S952,V952)</f>
        <v>O23011745032024025505035</v>
      </c>
      <c r="AA952" s="326" t="str">
        <f>IFERROR(VLOOKUP(Y952,TD!$K$47:$L$65,2,0)," ")</f>
        <v>PM/0131/0105/45030350255</v>
      </c>
      <c r="AB952" s="175" t="s">
        <v>138</v>
      </c>
      <c r="AC952" s="327" t="s">
        <v>204</v>
      </c>
    </row>
    <row r="953" spans="2:29" ht="56" x14ac:dyDescent="0.35">
      <c r="B953" s="166">
        <v>20251044</v>
      </c>
      <c r="C953" s="165" t="s">
        <v>209</v>
      </c>
      <c r="D953" s="260" t="s">
        <v>167</v>
      </c>
      <c r="E953" s="264" t="s">
        <v>505</v>
      </c>
      <c r="F953" s="324" t="s">
        <v>519</v>
      </c>
      <c r="G953" s="324" t="s">
        <v>156</v>
      </c>
      <c r="H953" s="168">
        <v>80111600</v>
      </c>
      <c r="I953" s="325">
        <v>11</v>
      </c>
      <c r="J953" s="325">
        <v>2</v>
      </c>
      <c r="K953" s="171">
        <v>0</v>
      </c>
      <c r="L953" s="175">
        <v>4800000</v>
      </c>
      <c r="M953" s="173" t="s">
        <v>464</v>
      </c>
      <c r="N953" s="175" t="s">
        <v>508</v>
      </c>
      <c r="O953" s="51" t="s">
        <v>221</v>
      </c>
      <c r="P953" s="326" t="str">
        <f>IFERROR(VLOOKUP(C953,TD!$B$33:$F$37,2,0)," ")</f>
        <v>O230117</v>
      </c>
      <c r="Q953" s="326" t="str">
        <f>IFERROR(VLOOKUP(C953,TD!$B$33:$F$37,3,0)," ")</f>
        <v>4503</v>
      </c>
      <c r="R953" s="326">
        <f>IFERROR(VLOOKUP(C953,TD!$B$33:$F$37,4,0)," ")</f>
        <v>20240255</v>
      </c>
      <c r="S953" s="51" t="s">
        <v>177</v>
      </c>
      <c r="T953" s="248" t="str">
        <f>IFERROR(VLOOKUP(S953,TD!$J$34:$K$44,2,0)," ")</f>
        <v>Servicio de capacitaciones en gestión del riesgo de incendios  a la ciudadania.</v>
      </c>
      <c r="U953" s="249" t="str">
        <f>CONCATENATE(S953,"-",T953)</f>
        <v>05-Servicio de capacitaciones en gestión del riesgo de incendios  a la ciudadania.</v>
      </c>
      <c r="V953" s="51" t="s">
        <v>234</v>
      </c>
      <c r="W953" s="248" t="str">
        <f>IFERROR(VLOOKUP(V953,TD!$N$34:$O$46,2,0)," ")</f>
        <v>Servicio prevención y control de incendios</v>
      </c>
      <c r="X953" s="296" t="str">
        <f>CONCATENATE(V953,"_",W953)</f>
        <v>035_Servicio prevención y control de incendios</v>
      </c>
      <c r="Y953" s="296" t="str">
        <f>CONCATENATE(U953," ",X953)</f>
        <v>05-Servicio de capacitaciones en gestión del riesgo de incendios  a la ciudadania. 035_Servicio prevención y control de incendios</v>
      </c>
      <c r="Z953" s="326" t="str">
        <f>CONCATENATE(P953,Q953,R953,S953,V953)</f>
        <v>O23011745032024025505035</v>
      </c>
      <c r="AA953" s="326" t="str">
        <f>IFERROR(VLOOKUP(Y953,TD!$K$47:$L$65,2,0)," ")</f>
        <v>PM/0131/0105/45030350255</v>
      </c>
      <c r="AB953" s="175" t="s">
        <v>138</v>
      </c>
      <c r="AC953" s="263" t="s">
        <v>204</v>
      </c>
    </row>
    <row r="954" spans="2:29" ht="56" x14ac:dyDescent="0.35">
      <c r="B954" s="166">
        <v>20251051</v>
      </c>
      <c r="C954" s="165" t="s">
        <v>209</v>
      </c>
      <c r="D954" s="251" t="s">
        <v>169</v>
      </c>
      <c r="E954" s="264" t="s">
        <v>465</v>
      </c>
      <c r="F954" s="324" t="s">
        <v>1201</v>
      </c>
      <c r="G954" s="324" t="s">
        <v>155</v>
      </c>
      <c r="H954" s="168">
        <v>80111600</v>
      </c>
      <c r="I954" s="325">
        <v>10</v>
      </c>
      <c r="J954" s="325">
        <v>3</v>
      </c>
      <c r="K954" s="171">
        <v>0</v>
      </c>
      <c r="L954" s="175">
        <v>28500000</v>
      </c>
      <c r="M954" s="173" t="s">
        <v>464</v>
      </c>
      <c r="N954" s="175" t="s">
        <v>113</v>
      </c>
      <c r="O954" s="51" t="s">
        <v>222</v>
      </c>
      <c r="P954" s="326" t="str">
        <f>IFERROR(VLOOKUP(C954,TD!$B$33:$F$37,2,0)," ")</f>
        <v>O230117</v>
      </c>
      <c r="Q954" s="326" t="str">
        <f>IFERROR(VLOOKUP(C954,TD!$B$33:$F$37,3,0)," ")</f>
        <v>4503</v>
      </c>
      <c r="R954" s="326">
        <f>IFERROR(VLOOKUP(C954,TD!$B$33:$F$37,4,0)," ")</f>
        <v>20240255</v>
      </c>
      <c r="S954" s="51" t="s">
        <v>175</v>
      </c>
      <c r="T954" s="248" t="str">
        <f>IFERROR(VLOOKUP(S954,TD!$J$34:$K$44,2,0)," ")</f>
        <v>Servicio de atención a incidentes y emergencias.</v>
      </c>
      <c r="U954" s="249" t="str">
        <f>CONCATENATE(S954,"-",T954)</f>
        <v>04-Servicio de atención a incidentes y emergencias.</v>
      </c>
      <c r="V954" s="51" t="s">
        <v>232</v>
      </c>
      <c r="W954" s="248" t="str">
        <f>IFERROR(VLOOKUP(V954,TD!$N$34:$O$46,2,0)," ")</f>
        <v>Servicio de atención a emergencias y desastres</v>
      </c>
      <c r="X954" s="296" t="str">
        <f>CONCATENATE(V954,"_",W954)</f>
        <v>004_Servicio de atención a emergencias y desastres</v>
      </c>
      <c r="Y954" s="296" t="str">
        <f>CONCATENATE(U954," ",X954)</f>
        <v>04-Servicio de atención a incidentes y emergencias. 004_Servicio de atención a emergencias y desastres</v>
      </c>
      <c r="Z954" s="326" t="str">
        <f>CONCATENATE(P954,Q954,R954,S954,V954)</f>
        <v>O23011745032024025504004</v>
      </c>
      <c r="AA954" s="326" t="str">
        <f>IFERROR(VLOOKUP(Y954,TD!$K$47:$L$65,2,0)," ")</f>
        <v>PM/0131/0104/45030040255</v>
      </c>
      <c r="AB954" s="175" t="s">
        <v>138</v>
      </c>
      <c r="AC954" s="263" t="s">
        <v>204</v>
      </c>
    </row>
    <row r="955" spans="2:29" ht="70" x14ac:dyDescent="0.35">
      <c r="B955" s="77">
        <v>20251052</v>
      </c>
      <c r="C955" s="50" t="s">
        <v>209</v>
      </c>
      <c r="D955" s="251" t="s">
        <v>169</v>
      </c>
      <c r="E955" s="51" t="s">
        <v>465</v>
      </c>
      <c r="F955" s="246" t="s">
        <v>1374</v>
      </c>
      <c r="G955" s="246" t="s">
        <v>155</v>
      </c>
      <c r="H955" s="93">
        <v>80111600</v>
      </c>
      <c r="I955" s="247">
        <v>11</v>
      </c>
      <c r="J955" s="247">
        <v>2</v>
      </c>
      <c r="K955" s="52">
        <v>0</v>
      </c>
      <c r="L955" s="53">
        <v>12000000</v>
      </c>
      <c r="M955" s="163" t="s">
        <v>464</v>
      </c>
      <c r="N955" s="164" t="s">
        <v>113</v>
      </c>
      <c r="O955" s="51" t="s">
        <v>222</v>
      </c>
      <c r="P955" s="262" t="str">
        <f>IFERROR(VLOOKUP(C955,TD!$B$33:$F$37,2,0)," ")</f>
        <v>O230117</v>
      </c>
      <c r="Q955" s="262" t="str">
        <f>IFERROR(VLOOKUP(C955,TD!$B$33:$F$37,3,0)," ")</f>
        <v>4503</v>
      </c>
      <c r="R955" s="262">
        <f>IFERROR(VLOOKUP(C955,TD!$B$33:$F$37,4,0)," ")</f>
        <v>20240255</v>
      </c>
      <c r="S955" s="51" t="s">
        <v>175</v>
      </c>
      <c r="T955" s="248" t="str">
        <f>IFERROR(VLOOKUP(S955,TD!$J$34:$K$44,2,0)," ")</f>
        <v>Servicio de atención a incidentes y emergencias.</v>
      </c>
      <c r="U955" s="249" t="str">
        <f>CONCATENATE(S955,"-",T955)</f>
        <v>04-Servicio de atención a incidentes y emergencias.</v>
      </c>
      <c r="V955" s="51" t="s">
        <v>232</v>
      </c>
      <c r="W955" s="248" t="str">
        <f>IFERROR(VLOOKUP(V955,TD!$N$34:$O$46,2,0)," ")</f>
        <v>Servicio de atención a emergencias y desastres</v>
      </c>
      <c r="X955" s="249" t="str">
        <f>CONCATENATE(V955,"_",W955)</f>
        <v>004_Servicio de atención a emergencias y desastres</v>
      </c>
      <c r="Y955" s="249" t="str">
        <f>CONCATENATE(U955," ",X955)</f>
        <v>04-Servicio de atención a incidentes y emergencias. 004_Servicio de atención a emergencias y desastres</v>
      </c>
      <c r="Z955" s="262" t="str">
        <f>CONCATENATE(P955,Q955,R955,S955,V955)</f>
        <v>O23011745032024025504004</v>
      </c>
      <c r="AA955" s="262" t="str">
        <f>IFERROR(VLOOKUP(Y955,TD!$K$47:$L$65,2,0)," ")</f>
        <v>PM/0131/0104/45030040255</v>
      </c>
      <c r="AB955" s="164" t="s">
        <v>120</v>
      </c>
      <c r="AC955" s="263" t="s">
        <v>204</v>
      </c>
    </row>
    <row r="956" spans="2:29" ht="56" x14ac:dyDescent="0.35">
      <c r="B956" s="166">
        <v>20251053</v>
      </c>
      <c r="C956" s="165" t="s">
        <v>209</v>
      </c>
      <c r="D956" s="260" t="s">
        <v>168</v>
      </c>
      <c r="E956" s="264" t="s">
        <v>600</v>
      </c>
      <c r="F956" s="260" t="s">
        <v>747</v>
      </c>
      <c r="G956" s="260" t="s">
        <v>155</v>
      </c>
      <c r="H956" s="161">
        <v>80111600</v>
      </c>
      <c r="I956" s="261">
        <v>10</v>
      </c>
      <c r="J956" s="261">
        <v>3</v>
      </c>
      <c r="K956" s="162">
        <v>10</v>
      </c>
      <c r="L956" s="164">
        <v>30000000</v>
      </c>
      <c r="M956" s="163" t="s">
        <v>464</v>
      </c>
      <c r="N956" s="164" t="s">
        <v>113</v>
      </c>
      <c r="O956" s="51" t="s">
        <v>224</v>
      </c>
      <c r="P956" s="262" t="str">
        <f>IFERROR(VLOOKUP(C956,TD!$B$33:$F$37,2,0)," ")</f>
        <v>O230117</v>
      </c>
      <c r="Q956" s="262" t="str">
        <f>IFERROR(VLOOKUP(C956,TD!$B$33:$F$37,3,0)," ")</f>
        <v>4503</v>
      </c>
      <c r="R956" s="262">
        <f>IFERROR(VLOOKUP(C956,TD!$B$33:$F$37,4,0)," ")</f>
        <v>20240255</v>
      </c>
      <c r="S956" s="51" t="s">
        <v>191</v>
      </c>
      <c r="T956" s="248" t="str">
        <f>IFERROR(VLOOKUP(S956,TD!$J$34:$K$44,2,0)," ")</f>
        <v>Servicio de apoyo   logístico  en eventos operativos y/o emergencias.</v>
      </c>
      <c r="U956" s="249" t="str">
        <f>CONCATENATE(S956,"-",T956)</f>
        <v>12-Servicio de apoyo   logístico  en eventos operativos y/o emergencias.</v>
      </c>
      <c r="V956" s="51" t="s">
        <v>232</v>
      </c>
      <c r="W956" s="248" t="str">
        <f>IFERROR(VLOOKUP(V956,TD!$N$34:$O$46,2,0)," ")</f>
        <v>Servicio de atención a emergencias y desastres</v>
      </c>
      <c r="X956" s="249" t="str">
        <f>CONCATENATE(V956,"_",W956)</f>
        <v>004_Servicio de atención a emergencias y desastres</v>
      </c>
      <c r="Y956" s="249" t="str">
        <f>CONCATENATE(U956," ",X956)</f>
        <v>12-Servicio de apoyo   logístico  en eventos operativos y/o emergencias. 004_Servicio de atención a emergencias y desastres</v>
      </c>
      <c r="Z956" s="262" t="str">
        <f>CONCATENATE(P956,Q956,R956,S956,V956)</f>
        <v>O23011745032024025512004</v>
      </c>
      <c r="AA956" s="262" t="str">
        <f>IFERROR(VLOOKUP(Y956,TD!$K$47:$L$65,2,0)," ")</f>
        <v>PM/0131/0112/45030040255</v>
      </c>
      <c r="AB956" s="164" t="s">
        <v>120</v>
      </c>
      <c r="AC956" s="263" t="s">
        <v>204</v>
      </c>
    </row>
    <row r="957" spans="2:29" ht="56" x14ac:dyDescent="0.35">
      <c r="B957" s="137">
        <v>20251054</v>
      </c>
      <c r="C957" s="129" t="s">
        <v>209</v>
      </c>
      <c r="D957" s="251" t="s">
        <v>168</v>
      </c>
      <c r="E957" s="252" t="s">
        <v>600</v>
      </c>
      <c r="F957" s="251" t="s">
        <v>1202</v>
      </c>
      <c r="G957" s="251" t="s">
        <v>156</v>
      </c>
      <c r="H957" s="130">
        <v>80111600</v>
      </c>
      <c r="I957" s="253">
        <v>10</v>
      </c>
      <c r="J957" s="253">
        <v>3</v>
      </c>
      <c r="K957" s="126">
        <v>27</v>
      </c>
      <c r="L957" s="125">
        <v>24000000</v>
      </c>
      <c r="M957" s="159" t="s">
        <v>464</v>
      </c>
      <c r="N957" s="125" t="s">
        <v>113</v>
      </c>
      <c r="O957" s="252" t="s">
        <v>224</v>
      </c>
      <c r="P957" s="254" t="str">
        <f>IFERROR(VLOOKUP(C957,TD!$B$33:$F$37,2,0)," ")</f>
        <v>O230117</v>
      </c>
      <c r="Q957" s="254" t="str">
        <f>IFERROR(VLOOKUP(C957,TD!$B$33:$F$37,3,0)," ")</f>
        <v>4503</v>
      </c>
      <c r="R957" s="254">
        <f>IFERROR(VLOOKUP(C957,TD!$B$33:$F$37,4,0)," ")</f>
        <v>20240255</v>
      </c>
      <c r="S957" s="252" t="s">
        <v>191</v>
      </c>
      <c r="T957" s="254" t="str">
        <f>IFERROR(VLOOKUP(S957,TD!$J$34:$K$44,2,0)," ")</f>
        <v>Servicio de apoyo   logístico  en eventos operativos y/o emergencias.</v>
      </c>
      <c r="U957" s="249" t="str">
        <f>CONCATENATE(S957,"-",T957)</f>
        <v>12-Servicio de apoyo   logístico  en eventos operativos y/o emergencias.</v>
      </c>
      <c r="V957" s="252" t="s">
        <v>232</v>
      </c>
      <c r="W957" s="254" t="str">
        <f>IFERROR(VLOOKUP(V957,TD!$N$34:$O$46,2,0)," ")</f>
        <v>Servicio de atención a emergencias y desastres</v>
      </c>
      <c r="X957" s="249" t="str">
        <f>CONCATENATE(V957,"_",W957)</f>
        <v>004_Servicio de atención a emergencias y desastres</v>
      </c>
      <c r="Y957" s="249" t="str">
        <f>CONCATENATE(U957," ",X957)</f>
        <v>12-Servicio de apoyo   logístico  en eventos operativos y/o emergencias. 004_Servicio de atención a emergencias y desastres</v>
      </c>
      <c r="Z957" s="254" t="str">
        <f>CONCATENATE(P957,Q957,R957,S957,V957)</f>
        <v>O23011745032024025512004</v>
      </c>
      <c r="AA957" s="254" t="str">
        <f>IFERROR(VLOOKUP(Y957,TD!$K$47:$L$65,2,0)," ")</f>
        <v>PM/0131/0112/45030040255</v>
      </c>
      <c r="AB957" s="125" t="s">
        <v>138</v>
      </c>
      <c r="AC957" s="255" t="s">
        <v>204</v>
      </c>
    </row>
    <row r="958" spans="2:29" ht="70" x14ac:dyDescent="0.35">
      <c r="B958" s="166">
        <v>20251055</v>
      </c>
      <c r="C958" s="165" t="s">
        <v>209</v>
      </c>
      <c r="D958" s="260" t="s">
        <v>168</v>
      </c>
      <c r="E958" s="264" t="s">
        <v>600</v>
      </c>
      <c r="F958" s="260" t="s">
        <v>1203</v>
      </c>
      <c r="G958" s="260" t="s">
        <v>156</v>
      </c>
      <c r="H958" s="161">
        <v>80111600</v>
      </c>
      <c r="I958" s="261">
        <v>11</v>
      </c>
      <c r="J958" s="261">
        <v>2</v>
      </c>
      <c r="K958" s="162">
        <v>15</v>
      </c>
      <c r="L958" s="164">
        <v>8200000</v>
      </c>
      <c r="M958" s="163" t="s">
        <v>464</v>
      </c>
      <c r="N958" s="164" t="s">
        <v>113</v>
      </c>
      <c r="O958" s="51" t="s">
        <v>224</v>
      </c>
      <c r="P958" s="262" t="str">
        <f>IFERROR(VLOOKUP(C958,TD!$B$33:$F$37,2,0)," ")</f>
        <v>O230117</v>
      </c>
      <c r="Q958" s="262" t="str">
        <f>IFERROR(VLOOKUP(C958,TD!$B$33:$F$37,3,0)," ")</f>
        <v>4503</v>
      </c>
      <c r="R958" s="262">
        <f>IFERROR(VLOOKUP(C958,TD!$B$33:$F$37,4,0)," ")</f>
        <v>20240255</v>
      </c>
      <c r="S958" s="51" t="s">
        <v>191</v>
      </c>
      <c r="T958" s="248" t="str">
        <f>IFERROR(VLOOKUP(S958,TD!$J$34:$K$44,2,0)," ")</f>
        <v>Servicio de apoyo   logístico  en eventos operativos y/o emergencias.</v>
      </c>
      <c r="U958" s="249" t="str">
        <f>CONCATENATE(S958,"-",T958)</f>
        <v>12-Servicio de apoyo   logístico  en eventos operativos y/o emergencias.</v>
      </c>
      <c r="V958" s="51" t="s">
        <v>232</v>
      </c>
      <c r="W958" s="248" t="str">
        <f>IFERROR(VLOOKUP(V958,TD!$N$34:$O$46,2,0)," ")</f>
        <v>Servicio de atención a emergencias y desastres</v>
      </c>
      <c r="X958" s="249" t="str">
        <f>CONCATENATE(V958,"_",W958)</f>
        <v>004_Servicio de atención a emergencias y desastres</v>
      </c>
      <c r="Y958" s="249" t="str">
        <f>CONCATENATE(U958," ",X958)</f>
        <v>12-Servicio de apoyo   logístico  en eventos operativos y/o emergencias. 004_Servicio de atención a emergencias y desastres</v>
      </c>
      <c r="Z958" s="262" t="str">
        <f>CONCATENATE(P958,Q958,R958,S958,V958)</f>
        <v>O23011745032024025512004</v>
      </c>
      <c r="AA958" s="262" t="str">
        <f>IFERROR(VLOOKUP(Y958,TD!$K$47:$L$65,2,0)," ")</f>
        <v>PM/0131/0112/45030040255</v>
      </c>
      <c r="AB958" s="164" t="s">
        <v>138</v>
      </c>
      <c r="AC958" s="263" t="s">
        <v>205</v>
      </c>
    </row>
    <row r="959" spans="2:29" ht="56" x14ac:dyDescent="0.35">
      <c r="B959" s="160">
        <v>20251056</v>
      </c>
      <c r="C959" s="165" t="s">
        <v>209</v>
      </c>
      <c r="D959" s="260" t="s">
        <v>168</v>
      </c>
      <c r="E959" s="264" t="s">
        <v>600</v>
      </c>
      <c r="F959" s="260" t="s">
        <v>1204</v>
      </c>
      <c r="G959" s="260" t="s">
        <v>155</v>
      </c>
      <c r="H959" s="161">
        <v>80111600</v>
      </c>
      <c r="I959" s="261">
        <v>11</v>
      </c>
      <c r="J959" s="261">
        <v>2</v>
      </c>
      <c r="K959" s="162">
        <v>21</v>
      </c>
      <c r="L959" s="164">
        <v>13500000</v>
      </c>
      <c r="M959" s="163" t="s">
        <v>464</v>
      </c>
      <c r="N959" s="164" t="s">
        <v>113</v>
      </c>
      <c r="O959" s="51" t="s">
        <v>224</v>
      </c>
      <c r="P959" s="262" t="str">
        <f>IFERROR(VLOOKUP(C959,TD!$B$33:$F$37,2,0)," ")</f>
        <v>O230117</v>
      </c>
      <c r="Q959" s="262" t="str">
        <f>IFERROR(VLOOKUP(C959,TD!$B$33:$F$37,3,0)," ")</f>
        <v>4503</v>
      </c>
      <c r="R959" s="262">
        <f>IFERROR(VLOOKUP(C959,TD!$B$33:$F$37,4,0)," ")</f>
        <v>20240255</v>
      </c>
      <c r="S959" s="51" t="s">
        <v>191</v>
      </c>
      <c r="T959" s="248" t="str">
        <f>IFERROR(VLOOKUP(S959,TD!$J$34:$K$44,2,0)," ")</f>
        <v>Servicio de apoyo   logístico  en eventos operativos y/o emergencias.</v>
      </c>
      <c r="U959" s="249" t="str">
        <f>CONCATENATE(S959,"-",T959)</f>
        <v>12-Servicio de apoyo   logístico  en eventos operativos y/o emergencias.</v>
      </c>
      <c r="V959" s="51" t="s">
        <v>232</v>
      </c>
      <c r="W959" s="248" t="str">
        <f>IFERROR(VLOOKUP(V959,TD!$N$34:$O$46,2,0)," ")</f>
        <v>Servicio de atención a emergencias y desastres</v>
      </c>
      <c r="X959" s="249" t="str">
        <f>CONCATENATE(V959,"_",W959)</f>
        <v>004_Servicio de atención a emergencias y desastres</v>
      </c>
      <c r="Y959" s="249" t="str">
        <f>CONCATENATE(U959," ",X959)</f>
        <v>12-Servicio de apoyo   logístico  en eventos operativos y/o emergencias. 004_Servicio de atención a emergencias y desastres</v>
      </c>
      <c r="Z959" s="262" t="str">
        <f>CONCATENATE(P959,Q959,R959,S959,V959)</f>
        <v>O23011745032024025512004</v>
      </c>
      <c r="AA959" s="262" t="str">
        <f>IFERROR(VLOOKUP(Y959,TD!$K$47:$L$65,2,0)," ")</f>
        <v>PM/0131/0112/45030040255</v>
      </c>
      <c r="AB959" s="164" t="s">
        <v>138</v>
      </c>
      <c r="AC959" s="263" t="s">
        <v>205</v>
      </c>
    </row>
    <row r="960" spans="2:29" ht="70" x14ac:dyDescent="0.35">
      <c r="B960" s="137">
        <v>20251057</v>
      </c>
      <c r="C960" s="129" t="s">
        <v>209</v>
      </c>
      <c r="D960" s="251" t="s">
        <v>168</v>
      </c>
      <c r="E960" s="252" t="s">
        <v>600</v>
      </c>
      <c r="F960" s="251" t="s">
        <v>1205</v>
      </c>
      <c r="G960" s="251" t="s">
        <v>155</v>
      </c>
      <c r="H960" s="130">
        <v>80111600</v>
      </c>
      <c r="I960" s="253">
        <v>11</v>
      </c>
      <c r="J960" s="253">
        <v>2</v>
      </c>
      <c r="K960" s="126">
        <v>15</v>
      </c>
      <c r="L960" s="125">
        <v>21700000</v>
      </c>
      <c r="M960" s="159" t="s">
        <v>464</v>
      </c>
      <c r="N960" s="125" t="s">
        <v>113</v>
      </c>
      <c r="O960" s="252" t="s">
        <v>224</v>
      </c>
      <c r="P960" s="254" t="str">
        <f>IFERROR(VLOOKUP(C960,TD!$B$33:$F$37,2,0)," ")</f>
        <v>O230117</v>
      </c>
      <c r="Q960" s="254" t="str">
        <f>IFERROR(VLOOKUP(C960,TD!$B$33:$F$37,3,0)," ")</f>
        <v>4503</v>
      </c>
      <c r="R960" s="254">
        <f>IFERROR(VLOOKUP(C960,TD!$B$33:$F$37,4,0)," ")</f>
        <v>20240255</v>
      </c>
      <c r="S960" s="252" t="s">
        <v>187</v>
      </c>
      <c r="T960" s="254" t="str">
        <f>IFERROR(VLOOKUP(S960,TD!$J$34:$K$44,2,0)," ")</f>
        <v>Servicio de mantenimiento, dotación (HEA´s y equipo menor) y adquisición de vehiculos   especializados para la atención de emergencias.</v>
      </c>
      <c r="U960" s="249" t="str">
        <f>CONCATENATE(S960,"-",T960)</f>
        <v>09-Servicio de mantenimiento, dotación (HEA´s y equipo menor) y adquisición de vehiculos   especializados para la atención de emergencias.</v>
      </c>
      <c r="V960" s="252" t="s">
        <v>232</v>
      </c>
      <c r="W960" s="254" t="str">
        <f>IFERROR(VLOOKUP(V960,TD!$N$34:$O$46,2,0)," ")</f>
        <v>Servicio de atención a emergencias y desastres</v>
      </c>
      <c r="X960" s="249" t="str">
        <f>CONCATENATE(V960,"_",W960)</f>
        <v>004_Servicio de atención a emergencias y desastres</v>
      </c>
      <c r="Y960" s="249" t="str">
        <f>CONCATENATE(U960," ",X960)</f>
        <v>09-Servicio de mantenimiento, dotación (HEA´s y equipo menor) y adquisición de vehiculos   especializados para la atención de emergencias. 004_Servicio de atención a emergencias y desastres</v>
      </c>
      <c r="Z960" s="254" t="str">
        <f>CONCATENATE(P960,Q960,R960,S960,V960)</f>
        <v>O23011745032024025509004</v>
      </c>
      <c r="AA960" s="254" t="str">
        <f>IFERROR(VLOOKUP(Y960,TD!$K$47:$L$65,2,0)," ")</f>
        <v>PM/0131/0109/45030040255</v>
      </c>
      <c r="AB960" s="125" t="s">
        <v>138</v>
      </c>
      <c r="AC960" s="255" t="s">
        <v>205</v>
      </c>
    </row>
    <row r="961" spans="2:29" ht="70" x14ac:dyDescent="0.35">
      <c r="B961" s="166">
        <v>20251058</v>
      </c>
      <c r="C961" s="165" t="s">
        <v>209</v>
      </c>
      <c r="D961" s="260" t="s">
        <v>168</v>
      </c>
      <c r="E961" s="264" t="s">
        <v>600</v>
      </c>
      <c r="F961" s="260" t="s">
        <v>1206</v>
      </c>
      <c r="G961" s="260" t="s">
        <v>155</v>
      </c>
      <c r="H961" s="161">
        <v>80111600</v>
      </c>
      <c r="I961" s="261">
        <v>11</v>
      </c>
      <c r="J961" s="261">
        <v>2</v>
      </c>
      <c r="K961" s="162">
        <v>15</v>
      </c>
      <c r="L961" s="164">
        <v>21250000</v>
      </c>
      <c r="M961" s="163" t="s">
        <v>464</v>
      </c>
      <c r="N961" s="164" t="s">
        <v>113</v>
      </c>
      <c r="O961" s="51" t="s">
        <v>224</v>
      </c>
      <c r="P961" s="262" t="str">
        <f>IFERROR(VLOOKUP(C961,TD!$B$33:$F$37,2,0)," ")</f>
        <v>O230117</v>
      </c>
      <c r="Q961" s="262" t="str">
        <f>IFERROR(VLOOKUP(C961,TD!$B$33:$F$37,3,0)," ")</f>
        <v>4503</v>
      </c>
      <c r="R961" s="262">
        <f>IFERROR(VLOOKUP(C961,TD!$B$33:$F$37,4,0)," ")</f>
        <v>20240255</v>
      </c>
      <c r="S961" s="51" t="s">
        <v>187</v>
      </c>
      <c r="T961" s="248" t="str">
        <f>IFERROR(VLOOKUP(S961,TD!$J$34:$K$44,2,0)," ")</f>
        <v>Servicio de mantenimiento, dotación (HEA´s y equipo menor) y adquisición de vehiculos   especializados para la atención de emergencias.</v>
      </c>
      <c r="U961" s="249" t="str">
        <f>CONCATENATE(S961,"-",T961)</f>
        <v>09-Servicio de mantenimiento, dotación (HEA´s y equipo menor) y adquisición de vehiculos   especializados para la atención de emergencias.</v>
      </c>
      <c r="V961" s="51" t="s">
        <v>232</v>
      </c>
      <c r="W961" s="248" t="str">
        <f>IFERROR(VLOOKUP(V961,TD!$N$34:$O$46,2,0)," ")</f>
        <v>Servicio de atención a emergencias y desastres</v>
      </c>
      <c r="X961" s="249" t="str">
        <f>CONCATENATE(V961,"_",W961)</f>
        <v>004_Servicio de atención a emergencias y desastres</v>
      </c>
      <c r="Y961" s="249" t="str">
        <f>CONCATENATE(U961," ",X961)</f>
        <v>09-Servicio de mantenimiento, dotación (HEA´s y equipo menor) y adquisición de vehiculos   especializados para la atención de emergencias. 004_Servicio de atención a emergencias y desastres</v>
      </c>
      <c r="Z961" s="262" t="str">
        <f>CONCATENATE(P961,Q961,R961,S961,V961)</f>
        <v>O23011745032024025509004</v>
      </c>
      <c r="AA961" s="262" t="str">
        <f>IFERROR(VLOOKUP(Y961,TD!$K$47:$L$65,2,0)," ")</f>
        <v>PM/0131/0109/45030040255</v>
      </c>
      <c r="AB961" s="164" t="s">
        <v>138</v>
      </c>
      <c r="AC961" s="263" t="s">
        <v>205</v>
      </c>
    </row>
    <row r="962" spans="2:29" ht="70" x14ac:dyDescent="0.35">
      <c r="B962" s="166">
        <v>20251059</v>
      </c>
      <c r="C962" s="165" t="s">
        <v>209</v>
      </c>
      <c r="D962" s="260" t="s">
        <v>168</v>
      </c>
      <c r="E962" s="264" t="s">
        <v>600</v>
      </c>
      <c r="F962" s="260" t="s">
        <v>1207</v>
      </c>
      <c r="G962" s="260" t="s">
        <v>155</v>
      </c>
      <c r="H962" s="161">
        <v>80111600</v>
      </c>
      <c r="I962" s="261">
        <v>11</v>
      </c>
      <c r="J962" s="261">
        <v>2</v>
      </c>
      <c r="K962" s="162">
        <v>0</v>
      </c>
      <c r="L962" s="164">
        <v>9000000</v>
      </c>
      <c r="M962" s="163" t="s">
        <v>464</v>
      </c>
      <c r="N962" s="164" t="s">
        <v>113</v>
      </c>
      <c r="O962" s="51" t="s">
        <v>224</v>
      </c>
      <c r="P962" s="262" t="str">
        <f>IFERROR(VLOOKUP(C962,TD!$B$33:$F$37,2,0)," ")</f>
        <v>O230117</v>
      </c>
      <c r="Q962" s="262" t="str">
        <f>IFERROR(VLOOKUP(C962,TD!$B$33:$F$37,3,0)," ")</f>
        <v>4503</v>
      </c>
      <c r="R962" s="262">
        <f>IFERROR(VLOOKUP(C962,TD!$B$33:$F$37,4,0)," ")</f>
        <v>20240255</v>
      </c>
      <c r="S962" s="51" t="s">
        <v>191</v>
      </c>
      <c r="T962" s="248" t="str">
        <f>IFERROR(VLOOKUP(S962,TD!$J$34:$K$44,2,0)," ")</f>
        <v>Servicio de apoyo   logístico  en eventos operativos y/o emergencias.</v>
      </c>
      <c r="U962" s="249" t="str">
        <f>CONCATENATE(S962,"-",T962)</f>
        <v>12-Servicio de apoyo   logístico  en eventos operativos y/o emergencias.</v>
      </c>
      <c r="V962" s="51" t="s">
        <v>232</v>
      </c>
      <c r="W962" s="248" t="str">
        <f>IFERROR(VLOOKUP(V962,TD!$N$34:$O$46,2,0)," ")</f>
        <v>Servicio de atención a emergencias y desastres</v>
      </c>
      <c r="X962" s="249" t="str">
        <f>CONCATENATE(V962,"_",W962)</f>
        <v>004_Servicio de atención a emergencias y desastres</v>
      </c>
      <c r="Y962" s="249" t="str">
        <f>CONCATENATE(U962," ",X962)</f>
        <v>12-Servicio de apoyo   logístico  en eventos operativos y/o emergencias. 004_Servicio de atención a emergencias y desastres</v>
      </c>
      <c r="Z962" s="262" t="str">
        <f>CONCATENATE(P962,Q962,R962,S962,V962)</f>
        <v>O23011745032024025512004</v>
      </c>
      <c r="AA962" s="262" t="str">
        <f>IFERROR(VLOOKUP(Y962,TD!$K$47:$L$65,2,0)," ")</f>
        <v>PM/0131/0112/45030040255</v>
      </c>
      <c r="AB962" s="164" t="s">
        <v>138</v>
      </c>
      <c r="AC962" s="263" t="s">
        <v>205</v>
      </c>
    </row>
    <row r="963" spans="2:29" ht="56" x14ac:dyDescent="0.35">
      <c r="B963" s="127">
        <v>20251060</v>
      </c>
      <c r="C963" s="129" t="s">
        <v>209</v>
      </c>
      <c r="D963" s="251" t="s">
        <v>168</v>
      </c>
      <c r="E963" s="252" t="s">
        <v>600</v>
      </c>
      <c r="F963" s="251" t="s">
        <v>1208</v>
      </c>
      <c r="G963" s="251" t="s">
        <v>155</v>
      </c>
      <c r="H963" s="130">
        <v>80111600</v>
      </c>
      <c r="I963" s="253">
        <v>11</v>
      </c>
      <c r="J963" s="253">
        <v>2</v>
      </c>
      <c r="K963" s="126">
        <v>12</v>
      </c>
      <c r="L963" s="125">
        <v>17866667</v>
      </c>
      <c r="M963" s="159" t="s">
        <v>464</v>
      </c>
      <c r="N963" s="125" t="s">
        <v>113</v>
      </c>
      <c r="O963" s="252" t="s">
        <v>224</v>
      </c>
      <c r="P963" s="254" t="str">
        <f>IFERROR(VLOOKUP(C963,TD!$B$33:$F$37,2,0)," ")</f>
        <v>O230117</v>
      </c>
      <c r="Q963" s="254" t="str">
        <f>IFERROR(VLOOKUP(C963,TD!$B$33:$F$37,3,0)," ")</f>
        <v>4503</v>
      </c>
      <c r="R963" s="254">
        <f>IFERROR(VLOOKUP(C963,TD!$B$33:$F$37,4,0)," ")</f>
        <v>20240255</v>
      </c>
      <c r="S963" s="252" t="s">
        <v>187</v>
      </c>
      <c r="T963" s="254" t="str">
        <f>IFERROR(VLOOKUP(S963,TD!$J$34:$K$44,2,0)," ")</f>
        <v>Servicio de mantenimiento, dotación (HEA´s y equipo menor) y adquisición de vehiculos   especializados para la atención de emergencias.</v>
      </c>
      <c r="U963" s="249" t="str">
        <f>CONCATENATE(S963,"-",T963)</f>
        <v>09-Servicio de mantenimiento, dotación (HEA´s y equipo menor) y adquisición de vehiculos   especializados para la atención de emergencias.</v>
      </c>
      <c r="V963" s="252" t="s">
        <v>232</v>
      </c>
      <c r="W963" s="254" t="str">
        <f>IFERROR(VLOOKUP(V963,TD!$N$34:$O$46,2,0)," ")</f>
        <v>Servicio de atención a emergencias y desastres</v>
      </c>
      <c r="X963" s="249" t="str">
        <f>CONCATENATE(V963,"_",W963)</f>
        <v>004_Servicio de atención a emergencias y desastres</v>
      </c>
      <c r="Y963" s="249" t="str">
        <f>CONCATENATE(U963," ",X963)</f>
        <v>09-Servicio de mantenimiento, dotación (HEA´s y equipo menor) y adquisición de vehiculos   especializados para la atención de emergencias. 004_Servicio de atención a emergencias y desastres</v>
      </c>
      <c r="Z963" s="254" t="str">
        <f>CONCATENATE(P963,Q963,R963,S963,V963)</f>
        <v>O23011745032024025509004</v>
      </c>
      <c r="AA963" s="254" t="str">
        <f>IFERROR(VLOOKUP(Y963,TD!$K$47:$L$65,2,0)," ")</f>
        <v>PM/0131/0109/45030040255</v>
      </c>
      <c r="AB963" s="125" t="s">
        <v>138</v>
      </c>
      <c r="AC963" s="255" t="s">
        <v>205</v>
      </c>
    </row>
    <row r="964" spans="2:29" ht="56" x14ac:dyDescent="0.35">
      <c r="B964" s="166">
        <v>20251061</v>
      </c>
      <c r="C964" s="165" t="s">
        <v>209</v>
      </c>
      <c r="D964" s="260" t="s">
        <v>168</v>
      </c>
      <c r="E964" s="264" t="s">
        <v>600</v>
      </c>
      <c r="F964" s="260" t="s">
        <v>1209</v>
      </c>
      <c r="G964" s="260" t="s">
        <v>155</v>
      </c>
      <c r="H964" s="161">
        <v>80111600</v>
      </c>
      <c r="I964" s="261">
        <v>11</v>
      </c>
      <c r="J964" s="261">
        <v>2</v>
      </c>
      <c r="K964" s="162">
        <v>0</v>
      </c>
      <c r="L964" s="164">
        <v>9000000</v>
      </c>
      <c r="M964" s="163" t="s">
        <v>464</v>
      </c>
      <c r="N964" s="164" t="s">
        <v>113</v>
      </c>
      <c r="O964" s="51" t="s">
        <v>224</v>
      </c>
      <c r="P964" s="262" t="str">
        <f>IFERROR(VLOOKUP(C964,TD!$B$33:$F$37,2,0)," ")</f>
        <v>O230117</v>
      </c>
      <c r="Q964" s="262" t="str">
        <f>IFERROR(VLOOKUP(C964,TD!$B$33:$F$37,3,0)," ")</f>
        <v>4503</v>
      </c>
      <c r="R964" s="262">
        <f>IFERROR(VLOOKUP(C964,TD!$B$33:$F$37,4,0)," ")</f>
        <v>20240255</v>
      </c>
      <c r="S964" s="51" t="s">
        <v>191</v>
      </c>
      <c r="T964" s="248" t="str">
        <f>IFERROR(VLOOKUP(S964,TD!$J$34:$K$44,2,0)," ")</f>
        <v>Servicio de apoyo   logístico  en eventos operativos y/o emergencias.</v>
      </c>
      <c r="U964" s="249" t="str">
        <f>CONCATENATE(S964,"-",T964)</f>
        <v>12-Servicio de apoyo   logístico  en eventos operativos y/o emergencias.</v>
      </c>
      <c r="V964" s="51" t="s">
        <v>232</v>
      </c>
      <c r="W964" s="248" t="str">
        <f>IFERROR(VLOOKUP(V964,TD!$N$34:$O$46,2,0)," ")</f>
        <v>Servicio de atención a emergencias y desastres</v>
      </c>
      <c r="X964" s="249" t="str">
        <f>CONCATENATE(V964,"_",W964)</f>
        <v>004_Servicio de atención a emergencias y desastres</v>
      </c>
      <c r="Y964" s="249" t="str">
        <f>CONCATENATE(U964," ",X964)</f>
        <v>12-Servicio de apoyo   logístico  en eventos operativos y/o emergencias. 004_Servicio de atención a emergencias y desastres</v>
      </c>
      <c r="Z964" s="262" t="str">
        <f>CONCATENATE(P964,Q964,R964,S964,V964)</f>
        <v>O23011745032024025512004</v>
      </c>
      <c r="AA964" s="262" t="str">
        <f>IFERROR(VLOOKUP(Y964,TD!$K$47:$L$65,2,0)," ")</f>
        <v>PM/0131/0112/45030040255</v>
      </c>
      <c r="AB964" s="164" t="s">
        <v>138</v>
      </c>
      <c r="AC964" s="263" t="s">
        <v>205</v>
      </c>
    </row>
    <row r="965" spans="2:29" ht="70" x14ac:dyDescent="0.35">
      <c r="B965" s="166">
        <v>20251062</v>
      </c>
      <c r="C965" s="165" t="s">
        <v>209</v>
      </c>
      <c r="D965" s="260" t="s">
        <v>168</v>
      </c>
      <c r="E965" s="264" t="s">
        <v>600</v>
      </c>
      <c r="F965" s="260" t="s">
        <v>1210</v>
      </c>
      <c r="G965" s="260" t="s">
        <v>155</v>
      </c>
      <c r="H965" s="161">
        <v>80111600</v>
      </c>
      <c r="I965" s="261">
        <v>11</v>
      </c>
      <c r="J965" s="261">
        <v>2</v>
      </c>
      <c r="K965" s="162">
        <v>12</v>
      </c>
      <c r="L965" s="164">
        <v>19200000</v>
      </c>
      <c r="M965" s="163" t="s">
        <v>464</v>
      </c>
      <c r="N965" s="164" t="s">
        <v>113</v>
      </c>
      <c r="O965" s="51" t="s">
        <v>224</v>
      </c>
      <c r="P965" s="262" t="str">
        <f>IFERROR(VLOOKUP(C965,TD!$B$33:$F$37,2,0)," ")</f>
        <v>O230117</v>
      </c>
      <c r="Q965" s="262" t="str">
        <f>IFERROR(VLOOKUP(C965,TD!$B$33:$F$37,3,0)," ")</f>
        <v>4503</v>
      </c>
      <c r="R965" s="262">
        <f>IFERROR(VLOOKUP(C965,TD!$B$33:$F$37,4,0)," ")</f>
        <v>20240255</v>
      </c>
      <c r="S965" s="51" t="s">
        <v>191</v>
      </c>
      <c r="T965" s="248" t="str">
        <f>IFERROR(VLOOKUP(S965,TD!$J$34:$K$44,2,0)," ")</f>
        <v>Servicio de apoyo   logístico  en eventos operativos y/o emergencias.</v>
      </c>
      <c r="U965" s="249" t="str">
        <f>CONCATENATE(S965,"-",T965)</f>
        <v>12-Servicio de apoyo   logístico  en eventos operativos y/o emergencias.</v>
      </c>
      <c r="V965" s="51" t="s">
        <v>232</v>
      </c>
      <c r="W965" s="248" t="str">
        <f>IFERROR(VLOOKUP(V965,TD!$N$34:$O$46,2,0)," ")</f>
        <v>Servicio de atención a emergencias y desastres</v>
      </c>
      <c r="X965" s="249" t="str">
        <f>CONCATENATE(V965,"_",W965)</f>
        <v>004_Servicio de atención a emergencias y desastres</v>
      </c>
      <c r="Y965" s="249" t="str">
        <f>CONCATENATE(U965," ",X965)</f>
        <v>12-Servicio de apoyo   logístico  en eventos operativos y/o emergencias. 004_Servicio de atención a emergencias y desastres</v>
      </c>
      <c r="Z965" s="262" t="str">
        <f>CONCATENATE(P965,Q965,R965,S965,V965)</f>
        <v>O23011745032024025512004</v>
      </c>
      <c r="AA965" s="262" t="str">
        <f>IFERROR(VLOOKUP(Y965,TD!$K$47:$L$65,2,0)," ")</f>
        <v>PM/0131/0112/45030040255</v>
      </c>
      <c r="AB965" s="164" t="s">
        <v>138</v>
      </c>
      <c r="AC965" s="263" t="s">
        <v>205</v>
      </c>
    </row>
    <row r="966" spans="2:29" ht="70" x14ac:dyDescent="0.35">
      <c r="B966" s="166">
        <v>20251063</v>
      </c>
      <c r="C966" s="165" t="s">
        <v>209</v>
      </c>
      <c r="D966" s="260" t="s">
        <v>168</v>
      </c>
      <c r="E966" s="264" t="s">
        <v>600</v>
      </c>
      <c r="F966" s="260" t="s">
        <v>1211</v>
      </c>
      <c r="G966" s="260" t="s">
        <v>155</v>
      </c>
      <c r="H966" s="161">
        <v>80111600</v>
      </c>
      <c r="I966" s="261">
        <v>11</v>
      </c>
      <c r="J966" s="261">
        <v>2</v>
      </c>
      <c r="K966" s="162">
        <v>0</v>
      </c>
      <c r="L966" s="164">
        <v>13000000</v>
      </c>
      <c r="M966" s="163" t="s">
        <v>464</v>
      </c>
      <c r="N966" s="164" t="s">
        <v>113</v>
      </c>
      <c r="O966" s="51" t="s">
        <v>224</v>
      </c>
      <c r="P966" s="262" t="str">
        <f>IFERROR(VLOOKUP(C966,TD!$B$33:$F$37,2,0)," ")</f>
        <v>O230117</v>
      </c>
      <c r="Q966" s="262" t="str">
        <f>IFERROR(VLOOKUP(C966,TD!$B$33:$F$37,3,0)," ")</f>
        <v>4503</v>
      </c>
      <c r="R966" s="262">
        <f>IFERROR(VLOOKUP(C966,TD!$B$33:$F$37,4,0)," ")</f>
        <v>20240255</v>
      </c>
      <c r="S966" s="51" t="s">
        <v>191</v>
      </c>
      <c r="T966" s="248" t="str">
        <f>IFERROR(VLOOKUP(S966,TD!$J$34:$K$44,2,0)," ")</f>
        <v>Servicio de apoyo   logístico  en eventos operativos y/o emergencias.</v>
      </c>
      <c r="U966" s="249" t="str">
        <f>CONCATENATE(S966,"-",T966)</f>
        <v>12-Servicio de apoyo   logístico  en eventos operativos y/o emergencias.</v>
      </c>
      <c r="V966" s="51" t="s">
        <v>232</v>
      </c>
      <c r="W966" s="248" t="str">
        <f>IFERROR(VLOOKUP(V966,TD!$N$34:$O$46,2,0)," ")</f>
        <v>Servicio de atención a emergencias y desastres</v>
      </c>
      <c r="X966" s="249" t="str">
        <f>CONCATENATE(V966,"_",W966)</f>
        <v>004_Servicio de atención a emergencias y desastres</v>
      </c>
      <c r="Y966" s="249" t="str">
        <f>CONCATENATE(U966," ",X966)</f>
        <v>12-Servicio de apoyo   logístico  en eventos operativos y/o emergencias. 004_Servicio de atención a emergencias y desastres</v>
      </c>
      <c r="Z966" s="262" t="str">
        <f>CONCATENATE(P966,Q966,R966,S966,V966)</f>
        <v>O23011745032024025512004</v>
      </c>
      <c r="AA966" s="262" t="str">
        <f>IFERROR(VLOOKUP(Y966,TD!$K$47:$L$65,2,0)," ")</f>
        <v>PM/0131/0112/45030040255</v>
      </c>
      <c r="AB966" s="164" t="s">
        <v>138</v>
      </c>
      <c r="AC966" s="263" t="s">
        <v>205</v>
      </c>
    </row>
    <row r="967" spans="2:29" ht="42" x14ac:dyDescent="0.35">
      <c r="B967" s="127">
        <v>20251064</v>
      </c>
      <c r="C967" s="129" t="s">
        <v>209</v>
      </c>
      <c r="D967" s="251" t="s">
        <v>168</v>
      </c>
      <c r="E967" s="252" t="s">
        <v>600</v>
      </c>
      <c r="F967" s="251" t="s">
        <v>1212</v>
      </c>
      <c r="G967" s="251" t="s">
        <v>155</v>
      </c>
      <c r="H967" s="130">
        <v>80111600</v>
      </c>
      <c r="I967" s="253">
        <v>11</v>
      </c>
      <c r="J967" s="253">
        <v>2</v>
      </c>
      <c r="K967" s="126">
        <v>6</v>
      </c>
      <c r="L967" s="125">
        <v>11366667</v>
      </c>
      <c r="M967" s="159" t="s">
        <v>464</v>
      </c>
      <c r="N967" s="125" t="s">
        <v>113</v>
      </c>
      <c r="O967" s="252" t="s">
        <v>224</v>
      </c>
      <c r="P967" s="254" t="str">
        <f>IFERROR(VLOOKUP(C967,TD!$B$33:$F$37,2,0)," ")</f>
        <v>O230117</v>
      </c>
      <c r="Q967" s="254" t="str">
        <f>IFERROR(VLOOKUP(C967,TD!$B$33:$F$37,3,0)," ")</f>
        <v>4503</v>
      </c>
      <c r="R967" s="254">
        <f>IFERROR(VLOOKUP(C967,TD!$B$33:$F$37,4,0)," ")</f>
        <v>20240255</v>
      </c>
      <c r="S967" s="252" t="s">
        <v>191</v>
      </c>
      <c r="T967" s="254" t="str">
        <f>IFERROR(VLOOKUP(S967,TD!$J$34:$K$44,2,0)," ")</f>
        <v>Servicio de apoyo   logístico  en eventos operativos y/o emergencias.</v>
      </c>
      <c r="U967" s="249" t="str">
        <f>CONCATENATE(S967,"-",T967)</f>
        <v>12-Servicio de apoyo   logístico  en eventos operativos y/o emergencias.</v>
      </c>
      <c r="V967" s="252" t="s">
        <v>232</v>
      </c>
      <c r="W967" s="254" t="str">
        <f>IFERROR(VLOOKUP(V967,TD!$N$34:$O$46,2,0)," ")</f>
        <v>Servicio de atención a emergencias y desastres</v>
      </c>
      <c r="X967" s="249" t="str">
        <f>CONCATENATE(V967,"_",W967)</f>
        <v>004_Servicio de atención a emergencias y desastres</v>
      </c>
      <c r="Y967" s="249" t="str">
        <f>CONCATENATE(U967," ",X967)</f>
        <v>12-Servicio de apoyo   logístico  en eventos operativos y/o emergencias. 004_Servicio de atención a emergencias y desastres</v>
      </c>
      <c r="Z967" s="254" t="str">
        <f>CONCATENATE(P967,Q967,R967,S967,V967)</f>
        <v>O23011745032024025512004</v>
      </c>
      <c r="AA967" s="254" t="str">
        <f>IFERROR(VLOOKUP(Y967,TD!$K$47:$L$65,2,0)," ")</f>
        <v>PM/0131/0112/45030040255</v>
      </c>
      <c r="AB967" s="125" t="s">
        <v>138</v>
      </c>
      <c r="AC967" s="255" t="s">
        <v>205</v>
      </c>
    </row>
    <row r="968" spans="2:29" ht="70" x14ac:dyDescent="0.35">
      <c r="B968" s="166">
        <v>20251065</v>
      </c>
      <c r="C968" s="165" t="s">
        <v>209</v>
      </c>
      <c r="D968" s="260" t="s">
        <v>168</v>
      </c>
      <c r="E968" s="264" t="s">
        <v>600</v>
      </c>
      <c r="F968" s="260" t="s">
        <v>1213</v>
      </c>
      <c r="G968" s="260" t="s">
        <v>156</v>
      </c>
      <c r="H968" s="161">
        <v>80111600</v>
      </c>
      <c r="I968" s="261">
        <v>11</v>
      </c>
      <c r="J968" s="261">
        <v>2</v>
      </c>
      <c r="K968" s="162">
        <v>5</v>
      </c>
      <c r="L968" s="164">
        <v>7800000</v>
      </c>
      <c r="M968" s="163" t="s">
        <v>464</v>
      </c>
      <c r="N968" s="164" t="s">
        <v>113</v>
      </c>
      <c r="O968" s="51" t="s">
        <v>224</v>
      </c>
      <c r="P968" s="262" t="str">
        <f>IFERROR(VLOOKUP(C968,TD!$B$33:$F$37,2,0)," ")</f>
        <v>O230117</v>
      </c>
      <c r="Q968" s="262" t="str">
        <f>IFERROR(VLOOKUP(C968,TD!$B$33:$F$37,3,0)," ")</f>
        <v>4503</v>
      </c>
      <c r="R968" s="262">
        <f>IFERROR(VLOOKUP(C968,TD!$B$33:$F$37,4,0)," ")</f>
        <v>20240255</v>
      </c>
      <c r="S968" s="51" t="s">
        <v>191</v>
      </c>
      <c r="T968" s="248" t="str">
        <f>IFERROR(VLOOKUP(S968,TD!$J$34:$K$44,2,0)," ")</f>
        <v>Servicio de apoyo   logístico  en eventos operativos y/o emergencias.</v>
      </c>
      <c r="U968" s="249" t="str">
        <f>CONCATENATE(S968,"-",T968)</f>
        <v>12-Servicio de apoyo   logístico  en eventos operativos y/o emergencias.</v>
      </c>
      <c r="V968" s="51" t="s">
        <v>232</v>
      </c>
      <c r="W968" s="248" t="str">
        <f>IFERROR(VLOOKUP(V968,TD!$N$34:$O$46,2,0)," ")</f>
        <v>Servicio de atención a emergencias y desastres</v>
      </c>
      <c r="X968" s="249" t="str">
        <f>CONCATENATE(V968,"_",W968)</f>
        <v>004_Servicio de atención a emergencias y desastres</v>
      </c>
      <c r="Y968" s="249" t="str">
        <f>CONCATENATE(U968," ",X968)</f>
        <v>12-Servicio de apoyo   logístico  en eventos operativos y/o emergencias. 004_Servicio de atención a emergencias y desastres</v>
      </c>
      <c r="Z968" s="262" t="str">
        <f>CONCATENATE(P968,Q968,R968,S968,V968)</f>
        <v>O23011745032024025512004</v>
      </c>
      <c r="AA968" s="262" t="str">
        <f>IFERROR(VLOOKUP(Y968,TD!$K$47:$L$65,2,0)," ")</f>
        <v>PM/0131/0112/45030040255</v>
      </c>
      <c r="AB968" s="164" t="s">
        <v>138</v>
      </c>
      <c r="AC968" s="263" t="s">
        <v>205</v>
      </c>
    </row>
    <row r="969" spans="2:29" ht="56" x14ac:dyDescent="0.35">
      <c r="B969" s="166">
        <v>20251066</v>
      </c>
      <c r="C969" s="165" t="s">
        <v>209</v>
      </c>
      <c r="D969" s="260" t="s">
        <v>168</v>
      </c>
      <c r="E969" s="264" t="s">
        <v>600</v>
      </c>
      <c r="F969" s="260" t="s">
        <v>1214</v>
      </c>
      <c r="G969" s="260" t="s">
        <v>156</v>
      </c>
      <c r="H969" s="161">
        <v>80111600</v>
      </c>
      <c r="I969" s="261">
        <v>11</v>
      </c>
      <c r="J969" s="261">
        <v>2</v>
      </c>
      <c r="K969" s="162">
        <v>0</v>
      </c>
      <c r="L969" s="164">
        <v>7200000</v>
      </c>
      <c r="M969" s="163" t="s">
        <v>464</v>
      </c>
      <c r="N969" s="164" t="s">
        <v>113</v>
      </c>
      <c r="O969" s="51" t="s">
        <v>224</v>
      </c>
      <c r="P969" s="262" t="str">
        <f>IFERROR(VLOOKUP(C969,TD!$B$33:$F$37,2,0)," ")</f>
        <v>O230117</v>
      </c>
      <c r="Q969" s="262" t="str">
        <f>IFERROR(VLOOKUP(C969,TD!$B$33:$F$37,3,0)," ")</f>
        <v>4503</v>
      </c>
      <c r="R969" s="262">
        <f>IFERROR(VLOOKUP(C969,TD!$B$33:$F$37,4,0)," ")</f>
        <v>20240255</v>
      </c>
      <c r="S969" s="51" t="s">
        <v>191</v>
      </c>
      <c r="T969" s="248" t="str">
        <f>IFERROR(VLOOKUP(S969,TD!$J$34:$K$44,2,0)," ")</f>
        <v>Servicio de apoyo   logístico  en eventos operativos y/o emergencias.</v>
      </c>
      <c r="U969" s="249" t="str">
        <f>CONCATENATE(S969,"-",T969)</f>
        <v>12-Servicio de apoyo   logístico  en eventos operativos y/o emergencias.</v>
      </c>
      <c r="V969" s="51" t="s">
        <v>232</v>
      </c>
      <c r="W969" s="248" t="str">
        <f>IFERROR(VLOOKUP(V969,TD!$N$34:$O$46,2,0)," ")</f>
        <v>Servicio de atención a emergencias y desastres</v>
      </c>
      <c r="X969" s="249" t="str">
        <f>CONCATENATE(V969,"_",W969)</f>
        <v>004_Servicio de atención a emergencias y desastres</v>
      </c>
      <c r="Y969" s="249" t="str">
        <f>CONCATENATE(U969," ",X969)</f>
        <v>12-Servicio de apoyo   logístico  en eventos operativos y/o emergencias. 004_Servicio de atención a emergencias y desastres</v>
      </c>
      <c r="Z969" s="262" t="str">
        <f>CONCATENATE(P969,Q969,R969,S969,V969)</f>
        <v>O23011745032024025512004</v>
      </c>
      <c r="AA969" s="262" t="str">
        <f>IFERROR(VLOOKUP(Y969,TD!$K$47:$L$65,2,0)," ")</f>
        <v>PM/0131/0112/45030040255</v>
      </c>
      <c r="AB969" s="164" t="s">
        <v>138</v>
      </c>
      <c r="AC969" s="263" t="s">
        <v>205</v>
      </c>
    </row>
    <row r="970" spans="2:29" ht="84" x14ac:dyDescent="0.35">
      <c r="B970" s="166">
        <v>20251067</v>
      </c>
      <c r="C970" s="165" t="s">
        <v>209</v>
      </c>
      <c r="D970" s="260" t="s">
        <v>168</v>
      </c>
      <c r="E970" s="264" t="s">
        <v>600</v>
      </c>
      <c r="F970" s="260" t="s">
        <v>1215</v>
      </c>
      <c r="G970" s="260" t="s">
        <v>155</v>
      </c>
      <c r="H970" s="161">
        <v>80111600</v>
      </c>
      <c r="I970" s="261">
        <v>11</v>
      </c>
      <c r="J970" s="261">
        <v>2</v>
      </c>
      <c r="K970" s="162">
        <v>0</v>
      </c>
      <c r="L970" s="164">
        <v>9000000</v>
      </c>
      <c r="M970" s="163" t="s">
        <v>464</v>
      </c>
      <c r="N970" s="164" t="s">
        <v>113</v>
      </c>
      <c r="O970" s="51" t="s">
        <v>224</v>
      </c>
      <c r="P970" s="262" t="str">
        <f>IFERROR(VLOOKUP(C970,TD!$B$33:$F$37,2,0)," ")</f>
        <v>O230117</v>
      </c>
      <c r="Q970" s="262" t="str">
        <f>IFERROR(VLOOKUP(C970,TD!$B$33:$F$37,3,0)," ")</f>
        <v>4503</v>
      </c>
      <c r="R970" s="262">
        <f>IFERROR(VLOOKUP(C970,TD!$B$33:$F$37,4,0)," ")</f>
        <v>20240255</v>
      </c>
      <c r="S970" s="51" t="s">
        <v>191</v>
      </c>
      <c r="T970" s="248" t="str">
        <f>IFERROR(VLOOKUP(S970,TD!$J$34:$K$44,2,0)," ")</f>
        <v>Servicio de apoyo   logístico  en eventos operativos y/o emergencias.</v>
      </c>
      <c r="U970" s="249" t="str">
        <f>CONCATENATE(S970,"-",T970)</f>
        <v>12-Servicio de apoyo   logístico  en eventos operativos y/o emergencias.</v>
      </c>
      <c r="V970" s="51" t="s">
        <v>232</v>
      </c>
      <c r="W970" s="248" t="str">
        <f>IFERROR(VLOOKUP(V970,TD!$N$34:$O$46,2,0)," ")</f>
        <v>Servicio de atención a emergencias y desastres</v>
      </c>
      <c r="X970" s="249" t="str">
        <f>CONCATENATE(V970,"_",W970)</f>
        <v>004_Servicio de atención a emergencias y desastres</v>
      </c>
      <c r="Y970" s="249" t="str">
        <f>CONCATENATE(U970," ",X970)</f>
        <v>12-Servicio de apoyo   logístico  en eventos operativos y/o emergencias. 004_Servicio de atención a emergencias y desastres</v>
      </c>
      <c r="Z970" s="262" t="str">
        <f>CONCATENATE(P970,Q970,R970,S970,V970)</f>
        <v>O23011745032024025512004</v>
      </c>
      <c r="AA970" s="262" t="str">
        <f>IFERROR(VLOOKUP(Y970,TD!$K$47:$L$65,2,0)," ")</f>
        <v>PM/0131/0112/45030040255</v>
      </c>
      <c r="AB970" s="164" t="s">
        <v>138</v>
      </c>
      <c r="AC970" s="263" t="s">
        <v>205</v>
      </c>
    </row>
    <row r="971" spans="2:29" ht="70" x14ac:dyDescent="0.35">
      <c r="B971" s="160">
        <v>20251068</v>
      </c>
      <c r="C971" s="165" t="s">
        <v>209</v>
      </c>
      <c r="D971" s="260" t="s">
        <v>168</v>
      </c>
      <c r="E971" s="264" t="s">
        <v>600</v>
      </c>
      <c r="F971" s="260" t="s">
        <v>1216</v>
      </c>
      <c r="G971" s="260" t="s">
        <v>156</v>
      </c>
      <c r="H971" s="161">
        <v>80111600</v>
      </c>
      <c r="I971" s="261">
        <v>12</v>
      </c>
      <c r="J971" s="261">
        <v>1</v>
      </c>
      <c r="K971" s="162">
        <v>15</v>
      </c>
      <c r="L971" s="164">
        <v>6750000</v>
      </c>
      <c r="M971" s="163" t="s">
        <v>464</v>
      </c>
      <c r="N971" s="164" t="s">
        <v>113</v>
      </c>
      <c r="O971" s="51" t="s">
        <v>224</v>
      </c>
      <c r="P971" s="262" t="str">
        <f>IFERROR(VLOOKUP(C971,TD!$B$33:$F$37,2,0)," ")</f>
        <v>O230117</v>
      </c>
      <c r="Q971" s="262" t="str">
        <f>IFERROR(VLOOKUP(C971,TD!$B$33:$F$37,3,0)," ")</f>
        <v>4503</v>
      </c>
      <c r="R971" s="262">
        <f>IFERROR(VLOOKUP(C971,TD!$B$33:$F$37,4,0)," ")</f>
        <v>20240255</v>
      </c>
      <c r="S971" s="51" t="s">
        <v>191</v>
      </c>
      <c r="T971" s="248" t="str">
        <f>IFERROR(VLOOKUP(S971,TD!$J$34:$K$44,2,0)," ")</f>
        <v>Servicio de apoyo   logístico  en eventos operativos y/o emergencias.</v>
      </c>
      <c r="U971" s="249" t="str">
        <f>CONCATENATE(S971,"-",T971)</f>
        <v>12-Servicio de apoyo   logístico  en eventos operativos y/o emergencias.</v>
      </c>
      <c r="V971" s="51" t="s">
        <v>232</v>
      </c>
      <c r="W971" s="248" t="str">
        <f>IFERROR(VLOOKUP(V971,TD!$N$34:$O$46,2,0)," ")</f>
        <v>Servicio de atención a emergencias y desastres</v>
      </c>
      <c r="X971" s="249" t="str">
        <f>CONCATENATE(V971,"_",W971)</f>
        <v>004_Servicio de atención a emergencias y desastres</v>
      </c>
      <c r="Y971" s="249" t="str">
        <f>CONCATENATE(U971," ",X971)</f>
        <v>12-Servicio de apoyo   logístico  en eventos operativos y/o emergencias. 004_Servicio de atención a emergencias y desastres</v>
      </c>
      <c r="Z971" s="262" t="str">
        <f>CONCATENATE(P971,Q971,R971,S971,V971)</f>
        <v>O23011745032024025512004</v>
      </c>
      <c r="AA971" s="262" t="str">
        <f>IFERROR(VLOOKUP(Y971,TD!$K$47:$L$65,2,0)," ")</f>
        <v>PM/0131/0112/45030040255</v>
      </c>
      <c r="AB971" s="164" t="s">
        <v>138</v>
      </c>
      <c r="AC971" s="263" t="s">
        <v>205</v>
      </c>
    </row>
    <row r="972" spans="2:29" ht="56" x14ac:dyDescent="0.35">
      <c r="B972" s="166">
        <v>20251069</v>
      </c>
      <c r="C972" s="165" t="s">
        <v>209</v>
      </c>
      <c r="D972" s="260" t="s">
        <v>168</v>
      </c>
      <c r="E972" s="264" t="s">
        <v>600</v>
      </c>
      <c r="F972" s="260" t="s">
        <v>1217</v>
      </c>
      <c r="G972" s="260" t="s">
        <v>156</v>
      </c>
      <c r="H972" s="161">
        <v>80111600</v>
      </c>
      <c r="I972" s="261">
        <v>12</v>
      </c>
      <c r="J972" s="261">
        <v>1</v>
      </c>
      <c r="K972" s="162">
        <v>0</v>
      </c>
      <c r="L972" s="164">
        <v>3285000</v>
      </c>
      <c r="M972" s="163" t="s">
        <v>464</v>
      </c>
      <c r="N972" s="164" t="s">
        <v>113</v>
      </c>
      <c r="O972" s="51" t="s">
        <v>224</v>
      </c>
      <c r="P972" s="262" t="str">
        <f>IFERROR(VLOOKUP(C972,TD!$B$33:$F$37,2,0)," ")</f>
        <v>O230117</v>
      </c>
      <c r="Q972" s="262" t="str">
        <f>IFERROR(VLOOKUP(C972,TD!$B$33:$F$37,3,0)," ")</f>
        <v>4503</v>
      </c>
      <c r="R972" s="262">
        <f>IFERROR(VLOOKUP(C972,TD!$B$33:$F$37,4,0)," ")</f>
        <v>20240255</v>
      </c>
      <c r="S972" s="51" t="s">
        <v>191</v>
      </c>
      <c r="T972" s="248" t="str">
        <f>IFERROR(VLOOKUP(S972,TD!$J$34:$K$44,2,0)," ")</f>
        <v>Servicio de apoyo   logístico  en eventos operativos y/o emergencias.</v>
      </c>
      <c r="U972" s="249" t="str">
        <f>CONCATENATE(S972,"-",T972)</f>
        <v>12-Servicio de apoyo   logístico  en eventos operativos y/o emergencias.</v>
      </c>
      <c r="V972" s="51" t="s">
        <v>232</v>
      </c>
      <c r="W972" s="248" t="str">
        <f>IFERROR(VLOOKUP(V972,TD!$N$34:$O$46,2,0)," ")</f>
        <v>Servicio de atención a emergencias y desastres</v>
      </c>
      <c r="X972" s="249" t="str">
        <f>CONCATENATE(V972,"_",W972)</f>
        <v>004_Servicio de atención a emergencias y desastres</v>
      </c>
      <c r="Y972" s="249" t="str">
        <f>CONCATENATE(U972," ",X972)</f>
        <v>12-Servicio de apoyo   logístico  en eventos operativos y/o emergencias. 004_Servicio de atención a emergencias y desastres</v>
      </c>
      <c r="Z972" s="262" t="str">
        <f>CONCATENATE(P972,Q972,R972,S972,V972)</f>
        <v>O23011745032024025512004</v>
      </c>
      <c r="AA972" s="262" t="str">
        <f>IFERROR(VLOOKUP(Y972,TD!$K$47:$L$65,2,0)," ")</f>
        <v>PM/0131/0112/45030040255</v>
      </c>
      <c r="AB972" s="164" t="s">
        <v>138</v>
      </c>
      <c r="AC972" s="263" t="s">
        <v>205</v>
      </c>
    </row>
    <row r="973" spans="2:29" ht="70" x14ac:dyDescent="0.35">
      <c r="B973" s="166">
        <v>20251070</v>
      </c>
      <c r="C973" s="165" t="s">
        <v>209</v>
      </c>
      <c r="D973" s="260" t="s">
        <v>168</v>
      </c>
      <c r="E973" s="264" t="s">
        <v>600</v>
      </c>
      <c r="F973" s="260" t="s">
        <v>1218</v>
      </c>
      <c r="G973" s="260" t="s">
        <v>155</v>
      </c>
      <c r="H973" s="161">
        <v>80111600</v>
      </c>
      <c r="I973" s="261">
        <v>12</v>
      </c>
      <c r="J973" s="261">
        <v>1</v>
      </c>
      <c r="K973" s="162">
        <v>12</v>
      </c>
      <c r="L973" s="164">
        <v>7000000</v>
      </c>
      <c r="M973" s="163" t="s">
        <v>464</v>
      </c>
      <c r="N973" s="164" t="s">
        <v>113</v>
      </c>
      <c r="O973" s="51" t="s">
        <v>224</v>
      </c>
      <c r="P973" s="262" t="str">
        <f>IFERROR(VLOOKUP(C973,TD!$B$33:$F$37,2,0)," ")</f>
        <v>O230117</v>
      </c>
      <c r="Q973" s="262" t="str">
        <f>IFERROR(VLOOKUP(C973,TD!$B$33:$F$37,3,0)," ")</f>
        <v>4503</v>
      </c>
      <c r="R973" s="262">
        <f>IFERROR(VLOOKUP(C973,TD!$B$33:$F$37,4,0)," ")</f>
        <v>20240255</v>
      </c>
      <c r="S973" s="51" t="s">
        <v>191</v>
      </c>
      <c r="T973" s="248" t="str">
        <f>IFERROR(VLOOKUP(S973,TD!$J$34:$K$44,2,0)," ")</f>
        <v>Servicio de apoyo   logístico  en eventos operativos y/o emergencias.</v>
      </c>
      <c r="U973" s="249" t="str">
        <f>CONCATENATE(S973,"-",T973)</f>
        <v>12-Servicio de apoyo   logístico  en eventos operativos y/o emergencias.</v>
      </c>
      <c r="V973" s="51" t="s">
        <v>232</v>
      </c>
      <c r="W973" s="248" t="str">
        <f>IFERROR(VLOOKUP(V973,TD!$N$34:$O$46,2,0)," ")</f>
        <v>Servicio de atención a emergencias y desastres</v>
      </c>
      <c r="X973" s="249" t="str">
        <f>CONCATENATE(V973,"_",W973)</f>
        <v>004_Servicio de atención a emergencias y desastres</v>
      </c>
      <c r="Y973" s="249" t="str">
        <f>CONCATENATE(U973," ",X973)</f>
        <v>12-Servicio de apoyo   logístico  en eventos operativos y/o emergencias. 004_Servicio de atención a emergencias y desastres</v>
      </c>
      <c r="Z973" s="262" t="str">
        <f>CONCATENATE(P973,Q973,R973,S973,V973)</f>
        <v>O23011745032024025512004</v>
      </c>
      <c r="AA973" s="262" t="str">
        <f>IFERROR(VLOOKUP(Y973,TD!$K$47:$L$65,2,0)," ")</f>
        <v>PM/0131/0112/45030040255</v>
      </c>
      <c r="AB973" s="164" t="s">
        <v>138</v>
      </c>
      <c r="AC973" s="263" t="s">
        <v>205</v>
      </c>
    </row>
    <row r="974" spans="2:29" ht="42" x14ac:dyDescent="0.35">
      <c r="B974" s="166">
        <v>20251071</v>
      </c>
      <c r="C974" s="165" t="s">
        <v>209</v>
      </c>
      <c r="D974" s="260" t="s">
        <v>168</v>
      </c>
      <c r="E974" s="264" t="s">
        <v>600</v>
      </c>
      <c r="F974" s="260" t="s">
        <v>1219</v>
      </c>
      <c r="G974" s="260" t="s">
        <v>156</v>
      </c>
      <c r="H974" s="161">
        <v>80111600</v>
      </c>
      <c r="I974" s="261">
        <v>12</v>
      </c>
      <c r="J974" s="261">
        <v>1</v>
      </c>
      <c r="K974" s="162">
        <v>5</v>
      </c>
      <c r="L974" s="164">
        <v>4200000</v>
      </c>
      <c r="M974" s="163" t="s">
        <v>464</v>
      </c>
      <c r="N974" s="164" t="s">
        <v>113</v>
      </c>
      <c r="O974" s="51" t="s">
        <v>224</v>
      </c>
      <c r="P974" s="262" t="str">
        <f>IFERROR(VLOOKUP(C974,TD!$B$33:$F$37,2,0)," ")</f>
        <v>O230117</v>
      </c>
      <c r="Q974" s="262" t="str">
        <f>IFERROR(VLOOKUP(C974,TD!$B$33:$F$37,3,0)," ")</f>
        <v>4503</v>
      </c>
      <c r="R974" s="262">
        <f>IFERROR(VLOOKUP(C974,TD!$B$33:$F$37,4,0)," ")</f>
        <v>20240255</v>
      </c>
      <c r="S974" s="51" t="s">
        <v>187</v>
      </c>
      <c r="T974" s="248" t="str">
        <f>IFERROR(VLOOKUP(S974,TD!$J$34:$K$44,2,0)," ")</f>
        <v>Servicio de mantenimiento, dotación (HEA´s y equipo menor) y adquisición de vehiculos   especializados para la atención de emergencias.</v>
      </c>
      <c r="U974" s="249" t="str">
        <f>CONCATENATE(S974,"-",T974)</f>
        <v>09-Servicio de mantenimiento, dotación (HEA´s y equipo menor) y adquisición de vehiculos   especializados para la atención de emergencias.</v>
      </c>
      <c r="V974" s="51" t="s">
        <v>232</v>
      </c>
      <c r="W974" s="248" t="str">
        <f>IFERROR(VLOOKUP(V974,TD!$N$34:$O$46,2,0)," ")</f>
        <v>Servicio de atención a emergencias y desastres</v>
      </c>
      <c r="X974" s="249" t="str">
        <f>CONCATENATE(V974,"_",W974)</f>
        <v>004_Servicio de atención a emergencias y desastres</v>
      </c>
      <c r="Y974" s="249" t="str">
        <f>CONCATENATE(U974," ",X974)</f>
        <v>09-Servicio de mantenimiento, dotación (HEA´s y equipo menor) y adquisición de vehiculos   especializados para la atención de emergencias. 004_Servicio de atención a emergencias y desastres</v>
      </c>
      <c r="Z974" s="262" t="str">
        <f>CONCATENATE(P974,Q974,R974,S974,V974)</f>
        <v>O23011745032024025509004</v>
      </c>
      <c r="AA974" s="262" t="str">
        <f>IFERROR(VLOOKUP(Y974,TD!$K$47:$L$65,2,0)," ")</f>
        <v>PM/0131/0109/45030040255</v>
      </c>
      <c r="AB974" s="164" t="s">
        <v>138</v>
      </c>
      <c r="AC974" s="263" t="s">
        <v>205</v>
      </c>
    </row>
    <row r="975" spans="2:29" ht="56" x14ac:dyDescent="0.35">
      <c r="B975" s="160">
        <v>20251072</v>
      </c>
      <c r="C975" s="165" t="s">
        <v>209</v>
      </c>
      <c r="D975" s="260" t="s">
        <v>168</v>
      </c>
      <c r="E975" s="264" t="s">
        <v>600</v>
      </c>
      <c r="F975" s="260" t="s">
        <v>1220</v>
      </c>
      <c r="G975" s="260" t="s">
        <v>155</v>
      </c>
      <c r="H975" s="161">
        <v>80111600</v>
      </c>
      <c r="I975" s="261">
        <v>12</v>
      </c>
      <c r="J975" s="261">
        <v>1</v>
      </c>
      <c r="K975" s="162">
        <v>10</v>
      </c>
      <c r="L975" s="164">
        <v>8000000</v>
      </c>
      <c r="M975" s="163" t="s">
        <v>464</v>
      </c>
      <c r="N975" s="164" t="s">
        <v>113</v>
      </c>
      <c r="O975" s="51" t="s">
        <v>224</v>
      </c>
      <c r="P975" s="262" t="str">
        <f>IFERROR(VLOOKUP(C975,TD!$B$33:$F$37,2,0)," ")</f>
        <v>O230117</v>
      </c>
      <c r="Q975" s="262" t="str">
        <f>IFERROR(VLOOKUP(C975,TD!$B$33:$F$37,3,0)," ")</f>
        <v>4503</v>
      </c>
      <c r="R975" s="262">
        <f>IFERROR(VLOOKUP(C975,TD!$B$33:$F$37,4,0)," ")</f>
        <v>20240255</v>
      </c>
      <c r="S975" s="51" t="s">
        <v>191</v>
      </c>
      <c r="T975" s="248" t="str">
        <f>IFERROR(VLOOKUP(S975,TD!$J$34:$K$44,2,0)," ")</f>
        <v>Servicio de apoyo   logístico  en eventos operativos y/o emergencias.</v>
      </c>
      <c r="U975" s="249" t="str">
        <f>CONCATENATE(S975,"-",T975)</f>
        <v>12-Servicio de apoyo   logístico  en eventos operativos y/o emergencias.</v>
      </c>
      <c r="V975" s="51" t="s">
        <v>232</v>
      </c>
      <c r="W975" s="248" t="str">
        <f>IFERROR(VLOOKUP(V975,TD!$N$34:$O$46,2,0)," ")</f>
        <v>Servicio de atención a emergencias y desastres</v>
      </c>
      <c r="X975" s="249" t="str">
        <f>CONCATENATE(V975,"_",W975)</f>
        <v>004_Servicio de atención a emergencias y desastres</v>
      </c>
      <c r="Y975" s="249" t="str">
        <f>CONCATENATE(U975," ",X975)</f>
        <v>12-Servicio de apoyo   logístico  en eventos operativos y/o emergencias. 004_Servicio de atención a emergencias y desastres</v>
      </c>
      <c r="Z975" s="262" t="str">
        <f>CONCATENATE(P975,Q975,R975,S975,V975)</f>
        <v>O23011745032024025512004</v>
      </c>
      <c r="AA975" s="262" t="str">
        <f>IFERROR(VLOOKUP(Y975,TD!$K$47:$L$65,2,0)," ")</f>
        <v>PM/0131/0112/45030040255</v>
      </c>
      <c r="AB975" s="164" t="s">
        <v>138</v>
      </c>
      <c r="AC975" s="263" t="s">
        <v>205</v>
      </c>
    </row>
    <row r="976" spans="2:29" ht="42" x14ac:dyDescent="0.35">
      <c r="B976" s="166">
        <v>20251073</v>
      </c>
      <c r="C976" s="165" t="s">
        <v>209</v>
      </c>
      <c r="D976" s="260" t="s">
        <v>168</v>
      </c>
      <c r="E976" s="264" t="s">
        <v>600</v>
      </c>
      <c r="F976" s="260" t="s">
        <v>1221</v>
      </c>
      <c r="G976" s="260" t="s">
        <v>155</v>
      </c>
      <c r="H976" s="161">
        <v>80111600</v>
      </c>
      <c r="I976" s="261">
        <v>12</v>
      </c>
      <c r="J976" s="261">
        <v>1</v>
      </c>
      <c r="K976" s="162">
        <v>0</v>
      </c>
      <c r="L976" s="164">
        <v>5500000</v>
      </c>
      <c r="M976" s="163" t="s">
        <v>464</v>
      </c>
      <c r="N976" s="164" t="s">
        <v>113</v>
      </c>
      <c r="O976" s="51" t="s">
        <v>224</v>
      </c>
      <c r="P976" s="262" t="str">
        <f>IFERROR(VLOOKUP(C976,TD!$B$33:$F$37,2,0)," ")</f>
        <v>O230117</v>
      </c>
      <c r="Q976" s="262" t="str">
        <f>IFERROR(VLOOKUP(C976,TD!$B$33:$F$37,3,0)," ")</f>
        <v>4503</v>
      </c>
      <c r="R976" s="262">
        <f>IFERROR(VLOOKUP(C976,TD!$B$33:$F$37,4,0)," ")</f>
        <v>20240255</v>
      </c>
      <c r="S976" s="51" t="s">
        <v>191</v>
      </c>
      <c r="T976" s="248" t="str">
        <f>IFERROR(VLOOKUP(S976,TD!$J$34:$K$44,2,0)," ")</f>
        <v>Servicio de apoyo   logístico  en eventos operativos y/o emergencias.</v>
      </c>
      <c r="U976" s="249" t="str">
        <f>CONCATENATE(S976,"-",T976)</f>
        <v>12-Servicio de apoyo   logístico  en eventos operativos y/o emergencias.</v>
      </c>
      <c r="V976" s="51" t="s">
        <v>232</v>
      </c>
      <c r="W976" s="248" t="str">
        <f>IFERROR(VLOOKUP(V976,TD!$N$34:$O$46,2,0)," ")</f>
        <v>Servicio de atención a emergencias y desastres</v>
      </c>
      <c r="X976" s="249" t="str">
        <f>CONCATENATE(V976,"_",W976)</f>
        <v>004_Servicio de atención a emergencias y desastres</v>
      </c>
      <c r="Y976" s="249" t="str">
        <f>CONCATENATE(U976," ",X976)</f>
        <v>12-Servicio de apoyo   logístico  en eventos operativos y/o emergencias. 004_Servicio de atención a emergencias y desastres</v>
      </c>
      <c r="Z976" s="262" t="str">
        <f>CONCATENATE(P976,Q976,R976,S976,V976)</f>
        <v>O23011745032024025512004</v>
      </c>
      <c r="AA976" s="262" t="str">
        <f>IFERROR(VLOOKUP(Y976,TD!$K$47:$L$65,2,0)," ")</f>
        <v>PM/0131/0112/45030040255</v>
      </c>
      <c r="AB976" s="164" t="s">
        <v>138</v>
      </c>
      <c r="AC976" s="263" t="s">
        <v>205</v>
      </c>
    </row>
    <row r="977" spans="2:29" ht="70" x14ac:dyDescent="0.35">
      <c r="B977" s="166">
        <v>20251074</v>
      </c>
      <c r="C977" s="165" t="s">
        <v>209</v>
      </c>
      <c r="D977" s="260" t="s">
        <v>168</v>
      </c>
      <c r="E977" s="264" t="s">
        <v>600</v>
      </c>
      <c r="F977" s="260" t="s">
        <v>1222</v>
      </c>
      <c r="G977" s="260" t="s">
        <v>155</v>
      </c>
      <c r="H977" s="161">
        <v>80111600</v>
      </c>
      <c r="I977" s="261">
        <v>12</v>
      </c>
      <c r="J977" s="261">
        <v>1</v>
      </c>
      <c r="K977" s="162">
        <v>6</v>
      </c>
      <c r="L977" s="164">
        <v>3936000</v>
      </c>
      <c r="M977" s="163" t="s">
        <v>464</v>
      </c>
      <c r="N977" s="164" t="s">
        <v>113</v>
      </c>
      <c r="O977" s="51" t="s">
        <v>224</v>
      </c>
      <c r="P977" s="262" t="str">
        <f>IFERROR(VLOOKUP(C977,TD!$B$33:$F$37,2,0)," ")</f>
        <v>O230117</v>
      </c>
      <c r="Q977" s="262" t="str">
        <f>IFERROR(VLOOKUP(C977,TD!$B$33:$F$37,3,0)," ")</f>
        <v>4503</v>
      </c>
      <c r="R977" s="262">
        <f>IFERROR(VLOOKUP(C977,TD!$B$33:$F$37,4,0)," ")</f>
        <v>20240255</v>
      </c>
      <c r="S977" s="51" t="s">
        <v>191</v>
      </c>
      <c r="T977" s="248" t="str">
        <f>IFERROR(VLOOKUP(S977,TD!$J$34:$K$44,2,0)," ")</f>
        <v>Servicio de apoyo   logístico  en eventos operativos y/o emergencias.</v>
      </c>
      <c r="U977" s="249" t="str">
        <f>CONCATENATE(S977,"-",T977)</f>
        <v>12-Servicio de apoyo   logístico  en eventos operativos y/o emergencias.</v>
      </c>
      <c r="V977" s="51" t="s">
        <v>232</v>
      </c>
      <c r="W977" s="248" t="str">
        <f>IFERROR(VLOOKUP(V977,TD!$N$34:$O$46,2,0)," ")</f>
        <v>Servicio de atención a emergencias y desastres</v>
      </c>
      <c r="X977" s="249" t="str">
        <f>CONCATENATE(V977,"_",W977)</f>
        <v>004_Servicio de atención a emergencias y desastres</v>
      </c>
      <c r="Y977" s="249" t="str">
        <f>CONCATENATE(U977," ",X977)</f>
        <v>12-Servicio de apoyo   logístico  en eventos operativos y/o emergencias. 004_Servicio de atención a emergencias y desastres</v>
      </c>
      <c r="Z977" s="262" t="str">
        <f>CONCATENATE(P977,Q977,R977,S977,V977)</f>
        <v>O23011745032024025512004</v>
      </c>
      <c r="AA977" s="262" t="str">
        <f>IFERROR(VLOOKUP(Y977,TD!$K$47:$L$65,2,0)," ")</f>
        <v>PM/0131/0112/45030040255</v>
      </c>
      <c r="AB977" s="164" t="s">
        <v>138</v>
      </c>
      <c r="AC977" s="263" t="s">
        <v>205</v>
      </c>
    </row>
    <row r="978" spans="2:29" ht="56" x14ac:dyDescent="0.35">
      <c r="B978" s="166">
        <v>20251075</v>
      </c>
      <c r="C978" s="165" t="s">
        <v>209</v>
      </c>
      <c r="D978" s="260" t="s">
        <v>168</v>
      </c>
      <c r="E978" s="264" t="s">
        <v>600</v>
      </c>
      <c r="F978" s="260" t="s">
        <v>1223</v>
      </c>
      <c r="G978" s="260" t="s">
        <v>155</v>
      </c>
      <c r="H978" s="161">
        <v>80111600</v>
      </c>
      <c r="I978" s="261">
        <v>12</v>
      </c>
      <c r="J978" s="261">
        <v>1</v>
      </c>
      <c r="K978" s="162">
        <v>10</v>
      </c>
      <c r="L978" s="164">
        <v>12000000</v>
      </c>
      <c r="M978" s="163" t="s">
        <v>464</v>
      </c>
      <c r="N978" s="164" t="s">
        <v>113</v>
      </c>
      <c r="O978" s="51" t="s">
        <v>224</v>
      </c>
      <c r="P978" s="262" t="str">
        <f>IFERROR(VLOOKUP(C978,TD!$B$33:$F$37,2,0)," ")</f>
        <v>O230117</v>
      </c>
      <c r="Q978" s="262" t="str">
        <f>IFERROR(VLOOKUP(C978,TD!$B$33:$F$37,3,0)," ")</f>
        <v>4503</v>
      </c>
      <c r="R978" s="262">
        <f>IFERROR(VLOOKUP(C978,TD!$B$33:$F$37,4,0)," ")</f>
        <v>20240255</v>
      </c>
      <c r="S978" s="51" t="s">
        <v>191</v>
      </c>
      <c r="T978" s="248" t="str">
        <f>IFERROR(VLOOKUP(S978,TD!$J$34:$K$44,2,0)," ")</f>
        <v>Servicio de apoyo   logístico  en eventos operativos y/o emergencias.</v>
      </c>
      <c r="U978" s="249" t="str">
        <f>CONCATENATE(S978,"-",T978)</f>
        <v>12-Servicio de apoyo   logístico  en eventos operativos y/o emergencias.</v>
      </c>
      <c r="V978" s="51" t="s">
        <v>232</v>
      </c>
      <c r="W978" s="248" t="str">
        <f>IFERROR(VLOOKUP(V978,TD!$N$34:$O$46,2,0)," ")</f>
        <v>Servicio de atención a emergencias y desastres</v>
      </c>
      <c r="X978" s="249" t="str">
        <f>CONCATENATE(V978,"_",W978)</f>
        <v>004_Servicio de atención a emergencias y desastres</v>
      </c>
      <c r="Y978" s="249" t="str">
        <f>CONCATENATE(U978," ",X978)</f>
        <v>12-Servicio de apoyo   logístico  en eventos operativos y/o emergencias. 004_Servicio de atención a emergencias y desastres</v>
      </c>
      <c r="Z978" s="262" t="str">
        <f>CONCATENATE(P978,Q978,R978,S978,V978)</f>
        <v>O23011745032024025512004</v>
      </c>
      <c r="AA978" s="262" t="str">
        <f>IFERROR(VLOOKUP(Y978,TD!$K$47:$L$65,2,0)," ")</f>
        <v>PM/0131/0112/45030040255</v>
      </c>
      <c r="AB978" s="164" t="s">
        <v>138</v>
      </c>
      <c r="AC978" s="263" t="s">
        <v>205</v>
      </c>
    </row>
    <row r="979" spans="2:29" ht="56" x14ac:dyDescent="0.35">
      <c r="B979" s="160">
        <v>20251076</v>
      </c>
      <c r="C979" s="165" t="s">
        <v>209</v>
      </c>
      <c r="D979" s="260" t="s">
        <v>168</v>
      </c>
      <c r="E979" s="264" t="s">
        <v>600</v>
      </c>
      <c r="F979" s="260" t="s">
        <v>1224</v>
      </c>
      <c r="G979" s="260" t="s">
        <v>156</v>
      </c>
      <c r="H979" s="161">
        <v>80111600</v>
      </c>
      <c r="I979" s="261">
        <v>12</v>
      </c>
      <c r="J979" s="261">
        <v>1</v>
      </c>
      <c r="K979" s="162">
        <v>0</v>
      </c>
      <c r="L979" s="164">
        <v>3500000</v>
      </c>
      <c r="M979" s="163" t="s">
        <v>464</v>
      </c>
      <c r="N979" s="164" t="s">
        <v>113</v>
      </c>
      <c r="O979" s="51" t="s">
        <v>224</v>
      </c>
      <c r="P979" s="262" t="str">
        <f>IFERROR(VLOOKUP(C979,TD!$B$33:$F$37,2,0)," ")</f>
        <v>O230117</v>
      </c>
      <c r="Q979" s="262" t="str">
        <f>IFERROR(VLOOKUP(C979,TD!$B$33:$F$37,3,0)," ")</f>
        <v>4503</v>
      </c>
      <c r="R979" s="262">
        <f>IFERROR(VLOOKUP(C979,TD!$B$33:$F$37,4,0)," ")</f>
        <v>20240255</v>
      </c>
      <c r="S979" s="51" t="s">
        <v>191</v>
      </c>
      <c r="T979" s="248" t="str">
        <f>IFERROR(VLOOKUP(S979,TD!$J$34:$K$44,2,0)," ")</f>
        <v>Servicio de apoyo   logístico  en eventos operativos y/o emergencias.</v>
      </c>
      <c r="U979" s="249" t="str">
        <f>CONCATENATE(S979,"-",T979)</f>
        <v>12-Servicio de apoyo   logístico  en eventos operativos y/o emergencias.</v>
      </c>
      <c r="V979" s="51" t="s">
        <v>232</v>
      </c>
      <c r="W979" s="248" t="str">
        <f>IFERROR(VLOOKUP(V979,TD!$N$34:$O$46,2,0)," ")</f>
        <v>Servicio de atención a emergencias y desastres</v>
      </c>
      <c r="X979" s="249" t="str">
        <f>CONCATENATE(V979,"_",W979)</f>
        <v>004_Servicio de atención a emergencias y desastres</v>
      </c>
      <c r="Y979" s="249" t="str">
        <f>CONCATENATE(U979," ",X979)</f>
        <v>12-Servicio de apoyo   logístico  en eventos operativos y/o emergencias. 004_Servicio de atención a emergencias y desastres</v>
      </c>
      <c r="Z979" s="262" t="str">
        <f>CONCATENATE(P979,Q979,R979,S979,V979)</f>
        <v>O23011745032024025512004</v>
      </c>
      <c r="AA979" s="262" t="str">
        <f>IFERROR(VLOOKUP(Y979,TD!$K$47:$L$65,2,0)," ")</f>
        <v>PM/0131/0112/45030040255</v>
      </c>
      <c r="AB979" s="164" t="s">
        <v>138</v>
      </c>
      <c r="AC979" s="263" t="s">
        <v>205</v>
      </c>
    </row>
    <row r="980" spans="2:29" ht="70" x14ac:dyDescent="0.35">
      <c r="B980" s="166">
        <v>20251077</v>
      </c>
      <c r="C980" s="165" t="s">
        <v>209</v>
      </c>
      <c r="D980" s="260" t="s">
        <v>168</v>
      </c>
      <c r="E980" s="264" t="s">
        <v>600</v>
      </c>
      <c r="F980" s="260" t="s">
        <v>1225</v>
      </c>
      <c r="G980" s="260" t="s">
        <v>156</v>
      </c>
      <c r="H980" s="161">
        <v>80111600</v>
      </c>
      <c r="I980" s="261">
        <v>12</v>
      </c>
      <c r="J980" s="261">
        <v>1</v>
      </c>
      <c r="K980" s="162">
        <v>0</v>
      </c>
      <c r="L980" s="164">
        <v>3800000</v>
      </c>
      <c r="M980" s="163" t="s">
        <v>464</v>
      </c>
      <c r="N980" s="164" t="s">
        <v>113</v>
      </c>
      <c r="O980" s="51" t="s">
        <v>224</v>
      </c>
      <c r="P980" s="262" t="str">
        <f>IFERROR(VLOOKUP(C980,TD!$B$33:$F$37,2,0)," ")</f>
        <v>O230117</v>
      </c>
      <c r="Q980" s="262" t="str">
        <f>IFERROR(VLOOKUP(C980,TD!$B$33:$F$37,3,0)," ")</f>
        <v>4503</v>
      </c>
      <c r="R980" s="262">
        <f>IFERROR(VLOOKUP(C980,TD!$B$33:$F$37,4,0)," ")</f>
        <v>20240255</v>
      </c>
      <c r="S980" s="51" t="s">
        <v>191</v>
      </c>
      <c r="T980" s="248" t="str">
        <f>IFERROR(VLOOKUP(S980,TD!$J$34:$K$44,2,0)," ")</f>
        <v>Servicio de apoyo   logístico  en eventos operativos y/o emergencias.</v>
      </c>
      <c r="U980" s="249" t="str">
        <f>CONCATENATE(S980,"-",T980)</f>
        <v>12-Servicio de apoyo   logístico  en eventos operativos y/o emergencias.</v>
      </c>
      <c r="V980" s="51" t="s">
        <v>232</v>
      </c>
      <c r="W980" s="248" t="str">
        <f>IFERROR(VLOOKUP(V980,TD!$N$34:$O$46,2,0)," ")</f>
        <v>Servicio de atención a emergencias y desastres</v>
      </c>
      <c r="X980" s="249" t="str">
        <f>CONCATENATE(V980,"_",W980)</f>
        <v>004_Servicio de atención a emergencias y desastres</v>
      </c>
      <c r="Y980" s="249" t="str">
        <f>CONCATENATE(U980," ",X980)</f>
        <v>12-Servicio de apoyo   logístico  en eventos operativos y/o emergencias. 004_Servicio de atención a emergencias y desastres</v>
      </c>
      <c r="Z980" s="262" t="str">
        <f>CONCATENATE(P980,Q980,R980,S980,V980)</f>
        <v>O23011745032024025512004</v>
      </c>
      <c r="AA980" s="262" t="str">
        <f>IFERROR(VLOOKUP(Y980,TD!$K$47:$L$65,2,0)," ")</f>
        <v>PM/0131/0112/45030040255</v>
      </c>
      <c r="AB980" s="164" t="s">
        <v>138</v>
      </c>
      <c r="AC980" s="263" t="s">
        <v>205</v>
      </c>
    </row>
    <row r="981" spans="2:29" ht="70" x14ac:dyDescent="0.35">
      <c r="B981" s="166">
        <v>20251078</v>
      </c>
      <c r="C981" s="165" t="s">
        <v>209</v>
      </c>
      <c r="D981" s="260" t="s">
        <v>168</v>
      </c>
      <c r="E981" s="264" t="s">
        <v>600</v>
      </c>
      <c r="F981" s="260" t="s">
        <v>1226</v>
      </c>
      <c r="G981" s="260" t="s">
        <v>156</v>
      </c>
      <c r="H981" s="161">
        <v>80111600</v>
      </c>
      <c r="I981" s="261">
        <v>12</v>
      </c>
      <c r="J981" s="261">
        <v>0</v>
      </c>
      <c r="K981" s="162">
        <v>15</v>
      </c>
      <c r="L981" s="164">
        <v>1750000</v>
      </c>
      <c r="M981" s="163" t="s">
        <v>464</v>
      </c>
      <c r="N981" s="164" t="s">
        <v>113</v>
      </c>
      <c r="O981" s="51" t="s">
        <v>224</v>
      </c>
      <c r="P981" s="262" t="str">
        <f>IFERROR(VLOOKUP(C981,TD!$B$33:$F$37,2,0)," ")</f>
        <v>O230117</v>
      </c>
      <c r="Q981" s="262" t="str">
        <f>IFERROR(VLOOKUP(C981,TD!$B$33:$F$37,3,0)," ")</f>
        <v>4503</v>
      </c>
      <c r="R981" s="262">
        <f>IFERROR(VLOOKUP(C981,TD!$B$33:$F$37,4,0)," ")</f>
        <v>20240255</v>
      </c>
      <c r="S981" s="51" t="s">
        <v>191</v>
      </c>
      <c r="T981" s="248" t="str">
        <f>IFERROR(VLOOKUP(S981,TD!$J$34:$K$44,2,0)," ")</f>
        <v>Servicio de apoyo   logístico  en eventos operativos y/o emergencias.</v>
      </c>
      <c r="U981" s="249" t="str">
        <f>CONCATENATE(S981,"-",T981)</f>
        <v>12-Servicio de apoyo   logístico  en eventos operativos y/o emergencias.</v>
      </c>
      <c r="V981" s="51" t="s">
        <v>232</v>
      </c>
      <c r="W981" s="248" t="str">
        <f>IFERROR(VLOOKUP(V981,TD!$N$34:$O$46,2,0)," ")</f>
        <v>Servicio de atención a emergencias y desastres</v>
      </c>
      <c r="X981" s="249" t="str">
        <f>CONCATENATE(V981,"_",W981)</f>
        <v>004_Servicio de atención a emergencias y desastres</v>
      </c>
      <c r="Y981" s="249" t="str">
        <f>CONCATENATE(U981," ",X981)</f>
        <v>12-Servicio de apoyo   logístico  en eventos operativos y/o emergencias. 004_Servicio de atención a emergencias y desastres</v>
      </c>
      <c r="Z981" s="262" t="str">
        <f>CONCATENATE(P981,Q981,R981,S981,V981)</f>
        <v>O23011745032024025512004</v>
      </c>
      <c r="AA981" s="262" t="str">
        <f>IFERROR(VLOOKUP(Y981,TD!$K$47:$L$65,2,0)," ")</f>
        <v>PM/0131/0112/45030040255</v>
      </c>
      <c r="AB981" s="164" t="s">
        <v>138</v>
      </c>
      <c r="AC981" s="263" t="s">
        <v>205</v>
      </c>
    </row>
    <row r="982" spans="2:29" ht="70" x14ac:dyDescent="0.35">
      <c r="B982" s="166">
        <v>20251079</v>
      </c>
      <c r="C982" s="165" t="s">
        <v>209</v>
      </c>
      <c r="D982" s="260" t="s">
        <v>168</v>
      </c>
      <c r="E982" s="264" t="s">
        <v>600</v>
      </c>
      <c r="F982" s="260" t="s">
        <v>1227</v>
      </c>
      <c r="G982" s="260" t="s">
        <v>155</v>
      </c>
      <c r="H982" s="161">
        <v>80111600</v>
      </c>
      <c r="I982" s="261">
        <v>1</v>
      </c>
      <c r="J982" s="261">
        <v>0</v>
      </c>
      <c r="K982" s="162">
        <v>20</v>
      </c>
      <c r="L982" s="164">
        <v>4200000</v>
      </c>
      <c r="M982" s="163" t="s">
        <v>464</v>
      </c>
      <c r="N982" s="164" t="s">
        <v>113</v>
      </c>
      <c r="O982" s="51" t="s">
        <v>224</v>
      </c>
      <c r="P982" s="262" t="str">
        <f>IFERROR(VLOOKUP(C982,TD!$B$33:$F$37,2,0)," ")</f>
        <v>O230117</v>
      </c>
      <c r="Q982" s="262" t="str">
        <f>IFERROR(VLOOKUP(C982,TD!$B$33:$F$37,3,0)," ")</f>
        <v>4503</v>
      </c>
      <c r="R982" s="262">
        <f>IFERROR(VLOOKUP(C982,TD!$B$33:$F$37,4,0)," ")</f>
        <v>20240255</v>
      </c>
      <c r="S982" s="51" t="s">
        <v>191</v>
      </c>
      <c r="T982" s="248" t="str">
        <f>IFERROR(VLOOKUP(S982,TD!$J$34:$K$44,2,0)," ")</f>
        <v>Servicio de apoyo   logístico  en eventos operativos y/o emergencias.</v>
      </c>
      <c r="U982" s="249" t="str">
        <f>CONCATENATE(S982,"-",T982)</f>
        <v>12-Servicio de apoyo   logístico  en eventos operativos y/o emergencias.</v>
      </c>
      <c r="V982" s="51" t="s">
        <v>232</v>
      </c>
      <c r="W982" s="248" t="str">
        <f>IFERROR(VLOOKUP(V982,TD!$N$34:$O$46,2,0)," ")</f>
        <v>Servicio de atención a emergencias y desastres</v>
      </c>
      <c r="X982" s="249" t="str">
        <f>CONCATENATE(V982,"_",W982)</f>
        <v>004_Servicio de atención a emergencias y desastres</v>
      </c>
      <c r="Y982" s="249" t="str">
        <f>CONCATENATE(U982," ",X982)</f>
        <v>12-Servicio de apoyo   logístico  en eventos operativos y/o emergencias. 004_Servicio de atención a emergencias y desastres</v>
      </c>
      <c r="Z982" s="262" t="str">
        <f>CONCATENATE(P982,Q982,R982,S982,V982)</f>
        <v>O23011745032024025512004</v>
      </c>
      <c r="AA982" s="262" t="str">
        <f>IFERROR(VLOOKUP(Y982,TD!$K$47:$L$65,2,0)," ")</f>
        <v>PM/0131/0112/45030040255</v>
      </c>
      <c r="AB982" s="164" t="s">
        <v>138</v>
      </c>
      <c r="AC982" s="263" t="s">
        <v>205</v>
      </c>
    </row>
    <row r="983" spans="2:29" ht="70" x14ac:dyDescent="0.35">
      <c r="B983" s="166">
        <v>20251080</v>
      </c>
      <c r="C983" s="165" t="s">
        <v>209</v>
      </c>
      <c r="D983" s="260" t="s">
        <v>168</v>
      </c>
      <c r="E983" s="264" t="s">
        <v>600</v>
      </c>
      <c r="F983" s="260" t="s">
        <v>1228</v>
      </c>
      <c r="G983" s="260" t="s">
        <v>156</v>
      </c>
      <c r="H983" s="161">
        <v>80111600</v>
      </c>
      <c r="I983" s="261">
        <v>10</v>
      </c>
      <c r="J983" s="261">
        <v>2</v>
      </c>
      <c r="K983" s="162">
        <v>15</v>
      </c>
      <c r="L983" s="164">
        <v>9000000</v>
      </c>
      <c r="M983" s="163" t="s">
        <v>464</v>
      </c>
      <c r="N983" s="164" t="s">
        <v>113</v>
      </c>
      <c r="O983" s="51" t="s">
        <v>224</v>
      </c>
      <c r="P983" s="262" t="str">
        <f>IFERROR(VLOOKUP(C983,TD!$B$33:$F$37,2,0)," ")</f>
        <v>O230117</v>
      </c>
      <c r="Q983" s="262" t="str">
        <f>IFERROR(VLOOKUP(C983,TD!$B$33:$F$37,3,0)," ")</f>
        <v>4503</v>
      </c>
      <c r="R983" s="262">
        <f>IFERROR(VLOOKUP(C983,TD!$B$33:$F$37,4,0)," ")</f>
        <v>20240255</v>
      </c>
      <c r="S983" s="51" t="s">
        <v>191</v>
      </c>
      <c r="T983" s="248" t="str">
        <f>IFERROR(VLOOKUP(S983,TD!$J$34:$K$44,2,0)," ")</f>
        <v>Servicio de apoyo   logístico  en eventos operativos y/o emergencias.</v>
      </c>
      <c r="U983" s="249" t="str">
        <f>CONCATENATE(S983,"-",T983)</f>
        <v>12-Servicio de apoyo   logístico  en eventos operativos y/o emergencias.</v>
      </c>
      <c r="V983" s="51" t="s">
        <v>232</v>
      </c>
      <c r="W983" s="248" t="str">
        <f>IFERROR(VLOOKUP(V983,TD!$N$34:$O$46,2,0)," ")</f>
        <v>Servicio de atención a emergencias y desastres</v>
      </c>
      <c r="X983" s="249" t="str">
        <f>CONCATENATE(V983,"_",W983)</f>
        <v>004_Servicio de atención a emergencias y desastres</v>
      </c>
      <c r="Y983" s="249" t="str">
        <f>CONCATENATE(U983," ",X983)</f>
        <v>12-Servicio de apoyo   logístico  en eventos operativos y/o emergencias. 004_Servicio de atención a emergencias y desastres</v>
      </c>
      <c r="Z983" s="262" t="str">
        <f>CONCATENATE(P983,Q983,R983,S983,V983)</f>
        <v>O23011745032024025512004</v>
      </c>
      <c r="AA983" s="262" t="str">
        <f>IFERROR(VLOOKUP(Y983,TD!$K$47:$L$65,2,0)," ")</f>
        <v>PM/0131/0112/45030040255</v>
      </c>
      <c r="AB983" s="164" t="s">
        <v>138</v>
      </c>
      <c r="AC983" s="263" t="s">
        <v>205</v>
      </c>
    </row>
    <row r="984" spans="2:29" ht="70" x14ac:dyDescent="0.35">
      <c r="B984" s="166">
        <v>20251081</v>
      </c>
      <c r="C984" s="165" t="s">
        <v>209</v>
      </c>
      <c r="D984" s="260" t="s">
        <v>168</v>
      </c>
      <c r="E984" s="264" t="s">
        <v>600</v>
      </c>
      <c r="F984" s="260" t="s">
        <v>1229</v>
      </c>
      <c r="G984" s="260" t="s">
        <v>156</v>
      </c>
      <c r="H984" s="161">
        <v>80111600</v>
      </c>
      <c r="I984" s="261">
        <v>11</v>
      </c>
      <c r="J984" s="261">
        <v>2</v>
      </c>
      <c r="K984" s="162">
        <v>18</v>
      </c>
      <c r="L984" s="164">
        <v>10400000</v>
      </c>
      <c r="M984" s="163" t="s">
        <v>464</v>
      </c>
      <c r="N984" s="164" t="s">
        <v>113</v>
      </c>
      <c r="O984" s="51" t="s">
        <v>224</v>
      </c>
      <c r="P984" s="262" t="str">
        <f>IFERROR(VLOOKUP(C984,TD!$B$33:$F$37,2,0)," ")</f>
        <v>O230117</v>
      </c>
      <c r="Q984" s="262" t="str">
        <f>IFERROR(VLOOKUP(C984,TD!$B$33:$F$37,3,0)," ")</f>
        <v>4503</v>
      </c>
      <c r="R984" s="262">
        <f>IFERROR(VLOOKUP(C984,TD!$B$33:$F$37,4,0)," ")</f>
        <v>20240255</v>
      </c>
      <c r="S984" s="51" t="s">
        <v>191</v>
      </c>
      <c r="T984" s="248" t="str">
        <f>IFERROR(VLOOKUP(S984,TD!$J$34:$K$44,2,0)," ")</f>
        <v>Servicio de apoyo   logístico  en eventos operativos y/o emergencias.</v>
      </c>
      <c r="U984" s="249" t="str">
        <f>CONCATENATE(S984,"-",T984)</f>
        <v>12-Servicio de apoyo   logístico  en eventos operativos y/o emergencias.</v>
      </c>
      <c r="V984" s="51" t="s">
        <v>232</v>
      </c>
      <c r="W984" s="248" t="str">
        <f>IFERROR(VLOOKUP(V984,TD!$N$34:$O$46,2,0)," ")</f>
        <v>Servicio de atención a emergencias y desastres</v>
      </c>
      <c r="X984" s="249" t="str">
        <f>CONCATENATE(V984,"_",W984)</f>
        <v>004_Servicio de atención a emergencias y desastres</v>
      </c>
      <c r="Y984" s="249" t="str">
        <f>CONCATENATE(U984," ",X984)</f>
        <v>12-Servicio de apoyo   logístico  en eventos operativos y/o emergencias. 004_Servicio de atención a emergencias y desastres</v>
      </c>
      <c r="Z984" s="262" t="str">
        <f>CONCATENATE(P984,Q984,R984,S984,V984)</f>
        <v>O23011745032024025512004</v>
      </c>
      <c r="AA984" s="262" t="str">
        <f>IFERROR(VLOOKUP(Y984,TD!$K$47:$L$65,2,0)," ")</f>
        <v>PM/0131/0112/45030040255</v>
      </c>
      <c r="AB984" s="164" t="s">
        <v>138</v>
      </c>
      <c r="AC984" s="263" t="s">
        <v>205</v>
      </c>
    </row>
    <row r="985" spans="2:29" ht="56" x14ac:dyDescent="0.35">
      <c r="B985" s="166">
        <v>20251082</v>
      </c>
      <c r="C985" s="165" t="s">
        <v>208</v>
      </c>
      <c r="D985" s="260" t="s">
        <v>45</v>
      </c>
      <c r="E985" s="51" t="s">
        <v>355</v>
      </c>
      <c r="F985" s="260" t="s">
        <v>1231</v>
      </c>
      <c r="G985" s="260" t="s">
        <v>155</v>
      </c>
      <c r="H985" s="161">
        <v>80111600</v>
      </c>
      <c r="I985" s="261">
        <v>10</v>
      </c>
      <c r="J985" s="261">
        <v>3</v>
      </c>
      <c r="K985" s="162">
        <v>0</v>
      </c>
      <c r="L985" s="164">
        <v>27000000</v>
      </c>
      <c r="M985" s="163" t="s">
        <v>464</v>
      </c>
      <c r="N985" s="164" t="s">
        <v>113</v>
      </c>
      <c r="O985" s="51" t="s">
        <v>219</v>
      </c>
      <c r="P985" s="262" t="str">
        <f>IFERROR(VLOOKUP(C985,TD!$B$33:$F$37,2,0)," ")</f>
        <v>O230117</v>
      </c>
      <c r="Q985" s="262" t="str">
        <f>IFERROR(VLOOKUP(C985,TD!$B$33:$F$37,3,0)," ")</f>
        <v>4599</v>
      </c>
      <c r="R985" s="262">
        <f>IFERROR(VLOOKUP(C985,TD!$B$33:$F$37,4,0)," ")</f>
        <v>20240207</v>
      </c>
      <c r="S985" s="51" t="s">
        <v>185</v>
      </c>
      <c r="T985" s="248" t="str">
        <f>IFERROR(VLOOKUP(S985,TD!$J$34:$K$44,2,0)," ")</f>
        <v>Infraestructura física, mantenimiento y dotación (Sedes construidas, mantenidas reforzadas)</v>
      </c>
      <c r="U985" s="249" t="str">
        <f>CONCATENATE(S985,"-",T985)</f>
        <v>08-Infraestructura física, mantenimiento y dotación (Sedes construidas, mantenidas reforzadas)</v>
      </c>
      <c r="V985" s="51" t="s">
        <v>238</v>
      </c>
      <c r="W985" s="248" t="str">
        <f>IFERROR(VLOOKUP(V985,TD!$N$34:$O$46,2,0)," ")</f>
        <v>Sedes mantenidas</v>
      </c>
      <c r="X985" s="249" t="str">
        <f>CONCATENATE(V985,"_",W985)</f>
        <v>016_Sedes mantenidas</v>
      </c>
      <c r="Y985" s="249" t="str">
        <f>CONCATENATE(U985," ",X985)</f>
        <v>08-Infraestructura física, mantenimiento y dotación (Sedes construidas, mantenidas reforzadas) 016_Sedes mantenidas</v>
      </c>
      <c r="Z985" s="262" t="str">
        <f>CONCATENATE(P985,Q985,R985,S985,V985)</f>
        <v>O23011745992024020708016</v>
      </c>
      <c r="AA985" s="262" t="str">
        <f>IFERROR(VLOOKUP(Y985,TD!$K$47:$L$65,2,0)," ")</f>
        <v>PM/0131/0108/45990160207</v>
      </c>
      <c r="AB985" s="164" t="s">
        <v>120</v>
      </c>
      <c r="AC985" s="263" t="s">
        <v>205</v>
      </c>
    </row>
    <row r="986" spans="2:29" ht="56" x14ac:dyDescent="0.35">
      <c r="B986" s="166">
        <v>20251083</v>
      </c>
      <c r="C986" s="165" t="s">
        <v>208</v>
      </c>
      <c r="D986" s="260" t="s">
        <v>45</v>
      </c>
      <c r="E986" s="51" t="s">
        <v>355</v>
      </c>
      <c r="F986" s="260" t="s">
        <v>1232</v>
      </c>
      <c r="G986" s="260" t="s">
        <v>155</v>
      </c>
      <c r="H986" s="161">
        <v>80111600</v>
      </c>
      <c r="I986" s="261">
        <v>10</v>
      </c>
      <c r="J986" s="261">
        <v>3</v>
      </c>
      <c r="K986" s="162">
        <v>0</v>
      </c>
      <c r="L986" s="164">
        <v>27000000</v>
      </c>
      <c r="M986" s="163" t="s">
        <v>464</v>
      </c>
      <c r="N986" s="164" t="s">
        <v>113</v>
      </c>
      <c r="O986" s="51" t="s">
        <v>219</v>
      </c>
      <c r="P986" s="262" t="str">
        <f>IFERROR(VLOOKUP(C986,TD!$B$33:$F$37,2,0)," ")</f>
        <v>O230117</v>
      </c>
      <c r="Q986" s="262" t="str">
        <f>IFERROR(VLOOKUP(C986,TD!$B$33:$F$37,3,0)," ")</f>
        <v>4599</v>
      </c>
      <c r="R986" s="262">
        <f>IFERROR(VLOOKUP(C986,TD!$B$33:$F$37,4,0)," ")</f>
        <v>20240207</v>
      </c>
      <c r="S986" s="51" t="s">
        <v>185</v>
      </c>
      <c r="T986" s="248" t="str">
        <f>IFERROR(VLOOKUP(S986,TD!$J$34:$K$44,2,0)," ")</f>
        <v>Infraestructura física, mantenimiento y dotación (Sedes construidas, mantenidas reforzadas)</v>
      </c>
      <c r="U986" s="249" t="str">
        <f>CONCATENATE(S986,"-",T986)</f>
        <v>08-Infraestructura física, mantenimiento y dotación (Sedes construidas, mantenidas reforzadas)</v>
      </c>
      <c r="V986" s="51" t="s">
        <v>238</v>
      </c>
      <c r="W986" s="248" t="str">
        <f>IFERROR(VLOOKUP(V986,TD!$N$34:$O$46,2,0)," ")</f>
        <v>Sedes mantenidas</v>
      </c>
      <c r="X986" s="249" t="str">
        <f>CONCATENATE(V986,"_",W986)</f>
        <v>016_Sedes mantenidas</v>
      </c>
      <c r="Y986" s="249" t="str">
        <f>CONCATENATE(U986," ",X986)</f>
        <v>08-Infraestructura física, mantenimiento y dotación (Sedes construidas, mantenidas reforzadas) 016_Sedes mantenidas</v>
      </c>
      <c r="Z986" s="262" t="str">
        <f>CONCATENATE(P986,Q986,R986,S986,V986)</f>
        <v>O23011745992024020708016</v>
      </c>
      <c r="AA986" s="262" t="str">
        <f>IFERROR(VLOOKUP(Y986,TD!$K$47:$L$65,2,0)," ")</f>
        <v>PM/0131/0108/45990160207</v>
      </c>
      <c r="AB986" s="164" t="s">
        <v>138</v>
      </c>
      <c r="AC986" s="263" t="s">
        <v>205</v>
      </c>
    </row>
    <row r="987" spans="2:29" ht="70" x14ac:dyDescent="0.35">
      <c r="B987" s="166">
        <v>20251084</v>
      </c>
      <c r="C987" s="165" t="s">
        <v>208</v>
      </c>
      <c r="D987" s="260" t="s">
        <v>45</v>
      </c>
      <c r="E987" s="51" t="s">
        <v>355</v>
      </c>
      <c r="F987" s="260" t="s">
        <v>1233</v>
      </c>
      <c r="G987" s="260" t="s">
        <v>155</v>
      </c>
      <c r="H987" s="161">
        <v>80111600</v>
      </c>
      <c r="I987" s="261">
        <v>10</v>
      </c>
      <c r="J987" s="261">
        <v>2</v>
      </c>
      <c r="K987" s="162">
        <v>0</v>
      </c>
      <c r="L987" s="164">
        <v>15000000</v>
      </c>
      <c r="M987" s="163" t="s">
        <v>464</v>
      </c>
      <c r="N987" s="164" t="s">
        <v>113</v>
      </c>
      <c r="O987" s="51" t="s">
        <v>219</v>
      </c>
      <c r="P987" s="262" t="str">
        <f>IFERROR(VLOOKUP(C987,TD!$B$33:$F$37,2,0)," ")</f>
        <v>O230117</v>
      </c>
      <c r="Q987" s="262" t="str">
        <f>IFERROR(VLOOKUP(C987,TD!$B$33:$F$37,3,0)," ")</f>
        <v>4599</v>
      </c>
      <c r="R987" s="262">
        <f>IFERROR(VLOOKUP(C987,TD!$B$33:$F$37,4,0)," ")</f>
        <v>20240207</v>
      </c>
      <c r="S987" s="51" t="s">
        <v>185</v>
      </c>
      <c r="T987" s="248" t="str">
        <f>IFERROR(VLOOKUP(S987,TD!$J$34:$K$44,2,0)," ")</f>
        <v>Infraestructura física, mantenimiento y dotación (Sedes construidas, mantenidas reforzadas)</v>
      </c>
      <c r="U987" s="249" t="str">
        <f>CONCATENATE(S987,"-",T987)</f>
        <v>08-Infraestructura física, mantenimiento y dotación (Sedes construidas, mantenidas reforzadas)</v>
      </c>
      <c r="V987" s="51" t="s">
        <v>238</v>
      </c>
      <c r="W987" s="248" t="str">
        <f>IFERROR(VLOOKUP(V987,TD!$N$34:$O$46,2,0)," ")</f>
        <v>Sedes mantenidas</v>
      </c>
      <c r="X987" s="249" t="str">
        <f>CONCATENATE(V987,"_",W987)</f>
        <v>016_Sedes mantenidas</v>
      </c>
      <c r="Y987" s="249" t="str">
        <f>CONCATENATE(U987," ",X987)</f>
        <v>08-Infraestructura física, mantenimiento y dotación (Sedes construidas, mantenidas reforzadas) 016_Sedes mantenidas</v>
      </c>
      <c r="Z987" s="262" t="str">
        <f>CONCATENATE(P987,Q987,R987,S987,V987)</f>
        <v>O23011745992024020708016</v>
      </c>
      <c r="AA987" s="262" t="str">
        <f>IFERROR(VLOOKUP(Y987,TD!$K$47:$L$65,2,0)," ")</f>
        <v>PM/0131/0108/45990160207</v>
      </c>
      <c r="AB987" s="164" t="s">
        <v>138</v>
      </c>
      <c r="AC987" s="263" t="s">
        <v>205</v>
      </c>
    </row>
    <row r="988" spans="2:29" ht="98" x14ac:dyDescent="0.35">
      <c r="B988" s="166">
        <v>20251085</v>
      </c>
      <c r="C988" s="165" t="s">
        <v>208</v>
      </c>
      <c r="D988" s="246" t="s">
        <v>161</v>
      </c>
      <c r="E988" s="51" t="s">
        <v>355</v>
      </c>
      <c r="F988" s="246" t="s">
        <v>1234</v>
      </c>
      <c r="G988" s="246" t="s">
        <v>155</v>
      </c>
      <c r="H988" s="93">
        <v>80111600</v>
      </c>
      <c r="I988" s="247">
        <v>10</v>
      </c>
      <c r="J988" s="247">
        <v>1</v>
      </c>
      <c r="K988" s="52">
        <v>20</v>
      </c>
      <c r="L988" s="53">
        <v>15333333</v>
      </c>
      <c r="M988" s="136" t="s">
        <v>464</v>
      </c>
      <c r="N988" s="53" t="s">
        <v>113</v>
      </c>
      <c r="O988" s="51" t="s">
        <v>220</v>
      </c>
      <c r="P988" s="248" t="str">
        <f>IFERROR(VLOOKUP(C988,TD!$B$33:$F$37,2,0)," ")</f>
        <v>O230117</v>
      </c>
      <c r="Q988" s="248" t="str">
        <f>IFERROR(VLOOKUP(C988,TD!$B$33:$F$37,3,0)," ")</f>
        <v>4599</v>
      </c>
      <c r="R988" s="248">
        <f>IFERROR(VLOOKUP(C988,TD!$B$33:$F$37,4,0)," ")</f>
        <v>20240207</v>
      </c>
      <c r="S988" s="51" t="s">
        <v>193</v>
      </c>
      <c r="T988" s="248" t="str">
        <f>IFERROR(VLOOKUP(S988,TD!$J$34:$K$44,2,0)," ")</f>
        <v>Servicios para la planeación y sistemas de gestión y comunicación estratégica</v>
      </c>
      <c r="U988" s="249" t="str">
        <f>CONCATENATE(S988,"-",T988)</f>
        <v>13-Servicios para la planeación y sistemas de gestión y comunicación estratégica</v>
      </c>
      <c r="V988" s="51" t="s">
        <v>242</v>
      </c>
      <c r="W988" s="248" t="str">
        <f>IFERROR(VLOOKUP(V988,TD!$N$34:$O$46,2,0)," ")</f>
        <v>Documentos de planeación</v>
      </c>
      <c r="X988" s="249" t="str">
        <f>CONCATENATE(V988,"_",W988)</f>
        <v>019_Documentos de planeación</v>
      </c>
      <c r="Y988" s="249" t="str">
        <f>CONCATENATE(U988," ",X988)</f>
        <v>13-Servicios para la planeación y sistemas de gestión y comunicación estratégica 019_Documentos de planeación</v>
      </c>
      <c r="Z988" s="248" t="str">
        <f>CONCATENATE(P988,Q988,R988,S988,V988)</f>
        <v>O23011745992024020713019</v>
      </c>
      <c r="AA988" s="248" t="str">
        <f>IFERROR(VLOOKUP(Y988,TD!$K$47:$L$65,2,0)," ")</f>
        <v>PM/0131/0113/45990190207</v>
      </c>
      <c r="AB988" s="53" t="s">
        <v>138</v>
      </c>
      <c r="AC988" s="263" t="s">
        <v>205</v>
      </c>
    </row>
    <row r="989" spans="2:29" ht="70" x14ac:dyDescent="0.35">
      <c r="B989" s="166">
        <v>20251086</v>
      </c>
      <c r="C989" s="165" t="s">
        <v>208</v>
      </c>
      <c r="D989" s="260" t="s">
        <v>45</v>
      </c>
      <c r="E989" s="51" t="s">
        <v>355</v>
      </c>
      <c r="F989" s="246" t="s">
        <v>1235</v>
      </c>
      <c r="G989" s="246" t="s">
        <v>155</v>
      </c>
      <c r="H989" s="93">
        <v>80111600</v>
      </c>
      <c r="I989" s="247">
        <v>10</v>
      </c>
      <c r="J989" s="247">
        <v>2</v>
      </c>
      <c r="K989" s="52">
        <v>0</v>
      </c>
      <c r="L989" s="53">
        <v>16000000</v>
      </c>
      <c r="M989" s="136" t="s">
        <v>464</v>
      </c>
      <c r="N989" s="53" t="s">
        <v>113</v>
      </c>
      <c r="O989" s="51" t="s">
        <v>219</v>
      </c>
      <c r="P989" s="248" t="str">
        <f>IFERROR(VLOOKUP(C989,TD!$B$33:$F$37,2,0)," ")</f>
        <v>O230117</v>
      </c>
      <c r="Q989" s="248" t="str">
        <f>IFERROR(VLOOKUP(C989,TD!$B$33:$F$37,3,0)," ")</f>
        <v>4599</v>
      </c>
      <c r="R989" s="248">
        <f>IFERROR(VLOOKUP(C989,TD!$B$33:$F$37,4,0)," ")</f>
        <v>20240207</v>
      </c>
      <c r="S989" s="51" t="s">
        <v>185</v>
      </c>
      <c r="T989" s="248" t="str">
        <f>IFERROR(VLOOKUP(S989,TD!$J$34:$K$44,2,0)," ")</f>
        <v>Infraestructura física, mantenimiento y dotación (Sedes construidas, mantenidas reforzadas)</v>
      </c>
      <c r="U989" s="249" t="str">
        <f>CONCATENATE(S989,"-",T989)</f>
        <v>08-Infraestructura física, mantenimiento y dotación (Sedes construidas, mantenidas reforzadas)</v>
      </c>
      <c r="V989" s="51" t="s">
        <v>238</v>
      </c>
      <c r="W989" s="248" t="str">
        <f>IFERROR(VLOOKUP(V989,TD!$N$34:$O$46,2,0)," ")</f>
        <v>Sedes mantenidas</v>
      </c>
      <c r="X989" s="249" t="str">
        <f>CONCATENATE(V989,"_",W989)</f>
        <v>016_Sedes mantenidas</v>
      </c>
      <c r="Y989" s="249" t="str">
        <f>CONCATENATE(U989," ",X989)</f>
        <v>08-Infraestructura física, mantenimiento y dotación (Sedes construidas, mantenidas reforzadas) 016_Sedes mantenidas</v>
      </c>
      <c r="Z989" s="248" t="str">
        <f>CONCATENATE(P989,Q989,R989,S989,V989)</f>
        <v>O23011745992024020708016</v>
      </c>
      <c r="AA989" s="248" t="str">
        <f>IFERROR(VLOOKUP(Y989,TD!$K$47:$L$65,2,0)," ")</f>
        <v>PM/0131/0108/45990160207</v>
      </c>
      <c r="AB989" s="53" t="s">
        <v>138</v>
      </c>
      <c r="AC989" s="263" t="s">
        <v>205</v>
      </c>
    </row>
    <row r="990" spans="2:29" ht="56" x14ac:dyDescent="0.35">
      <c r="B990" s="166">
        <v>20251087</v>
      </c>
      <c r="C990" s="165" t="s">
        <v>208</v>
      </c>
      <c r="D990" s="246" t="s">
        <v>161</v>
      </c>
      <c r="E990" s="51" t="s">
        <v>355</v>
      </c>
      <c r="F990" s="246" t="s">
        <v>1236</v>
      </c>
      <c r="G990" s="246" t="s">
        <v>155</v>
      </c>
      <c r="H990" s="93">
        <v>80111600</v>
      </c>
      <c r="I990" s="247">
        <v>11</v>
      </c>
      <c r="J990" s="247">
        <v>1</v>
      </c>
      <c r="K990" s="52">
        <v>29</v>
      </c>
      <c r="L990" s="53">
        <v>13373333</v>
      </c>
      <c r="M990" s="136" t="s">
        <v>464</v>
      </c>
      <c r="N990" s="53" t="s">
        <v>113</v>
      </c>
      <c r="O990" s="51" t="s">
        <v>220</v>
      </c>
      <c r="P990" s="248" t="str">
        <f>IFERROR(VLOOKUP(C990,TD!$B$33:$F$37,2,0)," ")</f>
        <v>O230117</v>
      </c>
      <c r="Q990" s="248" t="str">
        <f>IFERROR(VLOOKUP(C990,TD!$B$33:$F$37,3,0)," ")</f>
        <v>4599</v>
      </c>
      <c r="R990" s="248">
        <f>IFERROR(VLOOKUP(C990,TD!$B$33:$F$37,4,0)," ")</f>
        <v>20240207</v>
      </c>
      <c r="S990" s="51" t="s">
        <v>193</v>
      </c>
      <c r="T990" s="248" t="str">
        <f>IFERROR(VLOOKUP(S990,TD!$J$34:$K$44,2,0)," ")</f>
        <v>Servicios para la planeación y sistemas de gestión y comunicación estratégica</v>
      </c>
      <c r="U990" s="249" t="str">
        <f>CONCATENATE(S990,"-",T990)</f>
        <v>13-Servicios para la planeación y sistemas de gestión y comunicación estratégica</v>
      </c>
      <c r="V990" s="51" t="s">
        <v>242</v>
      </c>
      <c r="W990" s="248" t="str">
        <f>IFERROR(VLOOKUP(V990,TD!$N$34:$O$46,2,0)," ")</f>
        <v>Documentos de planeación</v>
      </c>
      <c r="X990" s="249" t="str">
        <f>CONCATENATE(V990,"_",W990)</f>
        <v>019_Documentos de planeación</v>
      </c>
      <c r="Y990" s="249" t="str">
        <f>CONCATENATE(U990," ",X990)</f>
        <v>13-Servicios para la planeación y sistemas de gestión y comunicación estratégica 019_Documentos de planeación</v>
      </c>
      <c r="Z990" s="248" t="str">
        <f>CONCATENATE(P990,Q990,R990,S990,V990)</f>
        <v>O23011745992024020713019</v>
      </c>
      <c r="AA990" s="248" t="str">
        <f>IFERROR(VLOOKUP(Y990,TD!$K$47:$L$65,2,0)," ")</f>
        <v>PM/0131/0113/45990190207</v>
      </c>
      <c r="AB990" s="53" t="s">
        <v>138</v>
      </c>
      <c r="AC990" s="263" t="s">
        <v>205</v>
      </c>
    </row>
    <row r="991" spans="2:29" ht="70" x14ac:dyDescent="0.35">
      <c r="B991" s="166">
        <v>20251088</v>
      </c>
      <c r="C991" s="165" t="s">
        <v>208</v>
      </c>
      <c r="D991" s="246" t="s">
        <v>161</v>
      </c>
      <c r="E991" s="51" t="s">
        <v>355</v>
      </c>
      <c r="F991" s="246" t="s">
        <v>1237</v>
      </c>
      <c r="G991" s="246" t="s">
        <v>155</v>
      </c>
      <c r="H991" s="93">
        <v>80111600</v>
      </c>
      <c r="I991" s="247">
        <v>11</v>
      </c>
      <c r="J991" s="247">
        <v>2</v>
      </c>
      <c r="K991" s="52">
        <v>0</v>
      </c>
      <c r="L991" s="53">
        <v>10400000</v>
      </c>
      <c r="M991" s="136" t="s">
        <v>464</v>
      </c>
      <c r="N991" s="53" t="s">
        <v>113</v>
      </c>
      <c r="O991" s="51" t="s">
        <v>220</v>
      </c>
      <c r="P991" s="248" t="str">
        <f>IFERROR(VLOOKUP(C991,TD!$B$33:$F$37,2,0)," ")</f>
        <v>O230117</v>
      </c>
      <c r="Q991" s="248" t="str">
        <f>IFERROR(VLOOKUP(C991,TD!$B$33:$F$37,3,0)," ")</f>
        <v>4599</v>
      </c>
      <c r="R991" s="248">
        <f>IFERROR(VLOOKUP(C991,TD!$B$33:$F$37,4,0)," ")</f>
        <v>20240207</v>
      </c>
      <c r="S991" s="51" t="s">
        <v>193</v>
      </c>
      <c r="T991" s="248" t="str">
        <f>IFERROR(VLOOKUP(S991,TD!$J$34:$K$44,2,0)," ")</f>
        <v>Servicios para la planeación y sistemas de gestión y comunicación estratégica</v>
      </c>
      <c r="U991" s="249" t="str">
        <f>CONCATENATE(S991,"-",T991)</f>
        <v>13-Servicios para la planeación y sistemas de gestión y comunicación estratégica</v>
      </c>
      <c r="V991" s="51" t="s">
        <v>242</v>
      </c>
      <c r="W991" s="248" t="str">
        <f>IFERROR(VLOOKUP(V991,TD!$N$34:$O$46,2,0)," ")</f>
        <v>Documentos de planeación</v>
      </c>
      <c r="X991" s="249" t="str">
        <f>CONCATENATE(V991,"_",W991)</f>
        <v>019_Documentos de planeación</v>
      </c>
      <c r="Y991" s="249" t="str">
        <f>CONCATENATE(U991," ",X991)</f>
        <v>13-Servicios para la planeación y sistemas de gestión y comunicación estratégica 019_Documentos de planeación</v>
      </c>
      <c r="Z991" s="248" t="str">
        <f>CONCATENATE(P991,Q991,R991,S991,V991)</f>
        <v>O23011745992024020713019</v>
      </c>
      <c r="AA991" s="248" t="str">
        <f>IFERROR(VLOOKUP(Y991,TD!$K$47:$L$65,2,0)," ")</f>
        <v>PM/0131/0113/45990190207</v>
      </c>
      <c r="AB991" s="53" t="s">
        <v>138</v>
      </c>
      <c r="AC991" s="263" t="s">
        <v>205</v>
      </c>
    </row>
    <row r="992" spans="2:29" ht="70" x14ac:dyDescent="0.35">
      <c r="B992" s="166">
        <v>20251089</v>
      </c>
      <c r="C992" s="165" t="s">
        <v>208</v>
      </c>
      <c r="D992" s="246" t="s">
        <v>161</v>
      </c>
      <c r="E992" s="51" t="s">
        <v>355</v>
      </c>
      <c r="F992" s="246" t="s">
        <v>1238</v>
      </c>
      <c r="G992" s="246" t="s">
        <v>155</v>
      </c>
      <c r="H992" s="93">
        <v>80111600</v>
      </c>
      <c r="I992" s="247">
        <v>11</v>
      </c>
      <c r="J992" s="247">
        <v>2</v>
      </c>
      <c r="K992" s="52">
        <v>0</v>
      </c>
      <c r="L992" s="53">
        <v>10400000</v>
      </c>
      <c r="M992" s="136" t="s">
        <v>464</v>
      </c>
      <c r="N992" s="53" t="s">
        <v>113</v>
      </c>
      <c r="O992" s="51" t="s">
        <v>220</v>
      </c>
      <c r="P992" s="248" t="str">
        <f>IFERROR(VLOOKUP(C992,TD!$B$33:$F$37,2,0)," ")</f>
        <v>O230117</v>
      </c>
      <c r="Q992" s="248" t="str">
        <f>IFERROR(VLOOKUP(C992,TD!$B$33:$F$37,3,0)," ")</f>
        <v>4599</v>
      </c>
      <c r="R992" s="248">
        <f>IFERROR(VLOOKUP(C992,TD!$B$33:$F$37,4,0)," ")</f>
        <v>20240207</v>
      </c>
      <c r="S992" s="51" t="s">
        <v>193</v>
      </c>
      <c r="T992" s="248" t="str">
        <f>IFERROR(VLOOKUP(S992,TD!$J$34:$K$44,2,0)," ")</f>
        <v>Servicios para la planeación y sistemas de gestión y comunicación estratégica</v>
      </c>
      <c r="U992" s="249" t="str">
        <f>CONCATENATE(S992,"-",T992)</f>
        <v>13-Servicios para la planeación y sistemas de gestión y comunicación estratégica</v>
      </c>
      <c r="V992" s="51" t="s">
        <v>242</v>
      </c>
      <c r="W992" s="248" t="str">
        <f>IFERROR(VLOOKUP(V992,TD!$N$34:$O$46,2,0)," ")</f>
        <v>Documentos de planeación</v>
      </c>
      <c r="X992" s="249" t="str">
        <f>CONCATENATE(V992,"_",W992)</f>
        <v>019_Documentos de planeación</v>
      </c>
      <c r="Y992" s="249" t="str">
        <f>CONCATENATE(U992," ",X992)</f>
        <v>13-Servicios para la planeación y sistemas de gestión y comunicación estratégica 019_Documentos de planeación</v>
      </c>
      <c r="Z992" s="248" t="str">
        <f>CONCATENATE(P992,Q992,R992,S992,V992)</f>
        <v>O23011745992024020713019</v>
      </c>
      <c r="AA992" s="248" t="str">
        <f>IFERROR(VLOOKUP(Y992,TD!$K$47:$L$65,2,0)," ")</f>
        <v>PM/0131/0113/45990190207</v>
      </c>
      <c r="AB992" s="53" t="s">
        <v>138</v>
      </c>
      <c r="AC992" s="263" t="s">
        <v>205</v>
      </c>
    </row>
    <row r="993" spans="2:29" ht="98" x14ac:dyDescent="0.35">
      <c r="B993" s="166">
        <v>20251090</v>
      </c>
      <c r="C993" s="165" t="s">
        <v>208</v>
      </c>
      <c r="D993" s="260" t="s">
        <v>45</v>
      </c>
      <c r="E993" s="51" t="s">
        <v>355</v>
      </c>
      <c r="F993" s="246" t="s">
        <v>1239</v>
      </c>
      <c r="G993" s="246" t="s">
        <v>155</v>
      </c>
      <c r="H993" s="93">
        <v>80111600</v>
      </c>
      <c r="I993" s="247">
        <v>1</v>
      </c>
      <c r="J993" s="247">
        <v>0</v>
      </c>
      <c r="K993" s="52">
        <v>18</v>
      </c>
      <c r="L993" s="53">
        <v>3120000</v>
      </c>
      <c r="M993" s="136" t="s">
        <v>464</v>
      </c>
      <c r="N993" s="53" t="s">
        <v>113</v>
      </c>
      <c r="O993" s="51" t="s">
        <v>219</v>
      </c>
      <c r="P993" s="248" t="str">
        <f>IFERROR(VLOOKUP(C993,TD!$B$33:$F$37,2,0)," ")</f>
        <v>O230117</v>
      </c>
      <c r="Q993" s="248" t="str">
        <f>IFERROR(VLOOKUP(C993,TD!$B$33:$F$37,3,0)," ")</f>
        <v>4599</v>
      </c>
      <c r="R993" s="248">
        <f>IFERROR(VLOOKUP(C993,TD!$B$33:$F$37,4,0)," ")</f>
        <v>20240207</v>
      </c>
      <c r="S993" s="51" t="s">
        <v>185</v>
      </c>
      <c r="T993" s="248" t="str">
        <f>IFERROR(VLOOKUP(S993,TD!$J$34:$K$44,2,0)," ")</f>
        <v>Infraestructura física, mantenimiento y dotación (Sedes construidas, mantenidas reforzadas)</v>
      </c>
      <c r="U993" s="249" t="str">
        <f>CONCATENATE(S993,"-",T993)</f>
        <v>08-Infraestructura física, mantenimiento y dotación (Sedes construidas, mantenidas reforzadas)</v>
      </c>
      <c r="V993" s="51" t="s">
        <v>238</v>
      </c>
      <c r="W993" s="248" t="str">
        <f>IFERROR(VLOOKUP(V993,TD!$N$34:$O$46,2,0)," ")</f>
        <v>Sedes mantenidas</v>
      </c>
      <c r="X993" s="249" t="str">
        <f>CONCATENATE(V993,"_",W993)</f>
        <v>016_Sedes mantenidas</v>
      </c>
      <c r="Y993" s="249" t="str">
        <f>CONCATENATE(U993," ",X993)</f>
        <v>08-Infraestructura física, mantenimiento y dotación (Sedes construidas, mantenidas reforzadas) 016_Sedes mantenidas</v>
      </c>
      <c r="Z993" s="248" t="str">
        <f>CONCATENATE(P993,Q993,R993,S993,V993)</f>
        <v>O23011745992024020708016</v>
      </c>
      <c r="AA993" s="248" t="str">
        <f>IFERROR(VLOOKUP(Y993,TD!$K$47:$L$65,2,0)," ")</f>
        <v>PM/0131/0108/45990160207</v>
      </c>
      <c r="AB993" s="53" t="s">
        <v>138</v>
      </c>
      <c r="AC993" s="263" t="s">
        <v>205</v>
      </c>
    </row>
    <row r="994" spans="2:29" ht="126" x14ac:dyDescent="0.35">
      <c r="B994" s="166">
        <v>20251091</v>
      </c>
      <c r="C994" s="165" t="s">
        <v>208</v>
      </c>
      <c r="D994" s="246" t="s">
        <v>161</v>
      </c>
      <c r="E994" s="51" t="s">
        <v>355</v>
      </c>
      <c r="F994" s="298" t="s">
        <v>1240</v>
      </c>
      <c r="G994" s="298" t="s">
        <v>155</v>
      </c>
      <c r="H994" s="134">
        <v>80111600</v>
      </c>
      <c r="I994" s="299">
        <v>1</v>
      </c>
      <c r="J994" s="299">
        <v>0</v>
      </c>
      <c r="K994" s="135">
        <v>20</v>
      </c>
      <c r="L994" s="131">
        <v>4000000</v>
      </c>
      <c r="M994" s="142" t="s">
        <v>464</v>
      </c>
      <c r="N994" s="131" t="s">
        <v>113</v>
      </c>
      <c r="O994" s="51" t="s">
        <v>220</v>
      </c>
      <c r="P994" s="300" t="str">
        <f>IFERROR(VLOOKUP(C994,TD!$B$33:$F$37,2,0)," ")</f>
        <v>O230117</v>
      </c>
      <c r="Q994" s="300" t="str">
        <f>IFERROR(VLOOKUP(C994,TD!$B$33:$F$37,3,0)," ")</f>
        <v>4599</v>
      </c>
      <c r="R994" s="300">
        <f>IFERROR(VLOOKUP(C994,TD!$B$33:$F$37,4,0)," ")</f>
        <v>20240207</v>
      </c>
      <c r="S994" s="51" t="s">
        <v>193</v>
      </c>
      <c r="T994" s="248" t="str">
        <f>IFERROR(VLOOKUP(S994,TD!$J$34:$K$44,2,0)," ")</f>
        <v>Servicios para la planeación y sistemas de gestión y comunicación estratégica</v>
      </c>
      <c r="U994" s="249" t="str">
        <f>CONCATENATE(S994,"-",T994)</f>
        <v>13-Servicios para la planeación y sistemas de gestión y comunicación estratégica</v>
      </c>
      <c r="V994" s="51" t="s">
        <v>242</v>
      </c>
      <c r="W994" s="248" t="str">
        <f>IFERROR(VLOOKUP(V994,TD!$N$34:$O$46,2,0)," ")</f>
        <v>Documentos de planeación</v>
      </c>
      <c r="X994" s="296" t="str">
        <f>CONCATENATE(V994,"_",W994)</f>
        <v>019_Documentos de planeación</v>
      </c>
      <c r="Y994" s="296" t="str">
        <f>CONCATENATE(U994," ",X994)</f>
        <v>13-Servicios para la planeación y sistemas de gestión y comunicación estratégica 019_Documentos de planeación</v>
      </c>
      <c r="Z994" s="300" t="str">
        <f>CONCATENATE(P994,Q994,R994,S994,V994)</f>
        <v>O23011745992024020713019</v>
      </c>
      <c r="AA994" s="300" t="str">
        <f>IFERROR(VLOOKUP(Y994,TD!$K$47:$L$65,2,0)," ")</f>
        <v>PM/0131/0113/45990190207</v>
      </c>
      <c r="AB994" s="131" t="s">
        <v>138</v>
      </c>
      <c r="AC994" s="327" t="s">
        <v>205</v>
      </c>
    </row>
    <row r="995" spans="2:29" ht="98" x14ac:dyDescent="0.35">
      <c r="B995" s="166">
        <v>20251092</v>
      </c>
      <c r="C995" s="165" t="s">
        <v>208</v>
      </c>
      <c r="D995" s="260" t="s">
        <v>45</v>
      </c>
      <c r="E995" s="51" t="s">
        <v>355</v>
      </c>
      <c r="F995" s="298" t="s">
        <v>1241</v>
      </c>
      <c r="G995" s="298" t="s">
        <v>156</v>
      </c>
      <c r="H995" s="134" t="s">
        <v>1242</v>
      </c>
      <c r="I995" s="299" t="s">
        <v>450</v>
      </c>
      <c r="J995" s="299" t="s">
        <v>1243</v>
      </c>
      <c r="K995" s="135" t="s">
        <v>1244</v>
      </c>
      <c r="L995" s="131">
        <v>2200000</v>
      </c>
      <c r="M995" s="142" t="s">
        <v>464</v>
      </c>
      <c r="N995" s="131" t="s">
        <v>607</v>
      </c>
      <c r="O995" s="51" t="s">
        <v>219</v>
      </c>
      <c r="P995" s="300" t="str">
        <f>IFERROR(VLOOKUP(C995,TD!$B$33:$F$37,2,0)," ")</f>
        <v>O230117</v>
      </c>
      <c r="Q995" s="300" t="str">
        <f>IFERROR(VLOOKUP(C995,TD!$B$33:$F$37,3,0)," ")</f>
        <v>4599</v>
      </c>
      <c r="R995" s="300">
        <f>IFERROR(VLOOKUP(C995,TD!$B$33:$F$37,4,0)," ")</f>
        <v>20240207</v>
      </c>
      <c r="S995" s="51" t="s">
        <v>185</v>
      </c>
      <c r="T995" s="248" t="str">
        <f>IFERROR(VLOOKUP(S995,TD!$J$34:$K$44,2,0)," ")</f>
        <v>Infraestructura física, mantenimiento y dotación (Sedes construidas, mantenidas reforzadas)</v>
      </c>
      <c r="U995" s="249" t="str">
        <f>CONCATENATE(S995,"-",T995)</f>
        <v>08-Infraestructura física, mantenimiento y dotación (Sedes construidas, mantenidas reforzadas)</v>
      </c>
      <c r="V995" s="51" t="s">
        <v>238</v>
      </c>
      <c r="W995" s="248" t="str">
        <f>IFERROR(VLOOKUP(V995,TD!$N$34:$O$46,2,0)," ")</f>
        <v>Sedes mantenidas</v>
      </c>
      <c r="X995" s="296" t="str">
        <f>CONCATENATE(V995,"_",W995)</f>
        <v>016_Sedes mantenidas</v>
      </c>
      <c r="Y995" s="296" t="str">
        <f>CONCATENATE(U995," ",X995)</f>
        <v>08-Infraestructura física, mantenimiento y dotación (Sedes construidas, mantenidas reforzadas) 016_Sedes mantenidas</v>
      </c>
      <c r="Z995" s="300" t="str">
        <f>CONCATENATE(P995,Q995,R995,S995,V995)</f>
        <v>O23011745992024020708016</v>
      </c>
      <c r="AA995" s="300" t="str">
        <f>IFERROR(VLOOKUP(Y995,TD!$K$47:$L$65,2,0)," ")</f>
        <v>PM/0131/0108/45990160207</v>
      </c>
      <c r="AB995" s="131" t="s">
        <v>662</v>
      </c>
      <c r="AC995" s="327" t="s">
        <v>205</v>
      </c>
    </row>
    <row r="996" spans="2:29" ht="70" x14ac:dyDescent="0.35">
      <c r="B996" s="166">
        <v>20251093</v>
      </c>
      <c r="C996" s="165" t="s">
        <v>208</v>
      </c>
      <c r="D996" s="246" t="s">
        <v>161</v>
      </c>
      <c r="E996" s="51" t="s">
        <v>355</v>
      </c>
      <c r="F996" s="246" t="s">
        <v>1245</v>
      </c>
      <c r="G996" s="246" t="s">
        <v>155</v>
      </c>
      <c r="H996" s="93" t="s">
        <v>1242</v>
      </c>
      <c r="I996" s="247">
        <v>1</v>
      </c>
      <c r="J996" s="247">
        <v>0</v>
      </c>
      <c r="K996" s="52">
        <v>16</v>
      </c>
      <c r="L996" s="53">
        <v>5600000</v>
      </c>
      <c r="M996" s="136" t="s">
        <v>464</v>
      </c>
      <c r="N996" s="53" t="s">
        <v>607</v>
      </c>
      <c r="O996" s="51" t="s">
        <v>220</v>
      </c>
      <c r="P996" s="248" t="str">
        <f>IFERROR(VLOOKUP(C996,TD!$B$33:$F$37,2,0)," ")</f>
        <v>O230117</v>
      </c>
      <c r="Q996" s="248" t="str">
        <f>IFERROR(VLOOKUP(C996,TD!$B$33:$F$37,3,0)," ")</f>
        <v>4599</v>
      </c>
      <c r="R996" s="248">
        <f>IFERROR(VLOOKUP(C996,TD!$B$33:$F$37,4,0)," ")</f>
        <v>20240207</v>
      </c>
      <c r="S996" s="51" t="s">
        <v>193</v>
      </c>
      <c r="T996" s="248" t="str">
        <f>IFERROR(VLOOKUP(S996,TD!$J$34:$K$44,2,0)," ")</f>
        <v>Servicios para la planeación y sistemas de gestión y comunicación estratégica</v>
      </c>
      <c r="U996" s="249" t="str">
        <f>CONCATENATE(S996,"-",T996)</f>
        <v>13-Servicios para la planeación y sistemas de gestión y comunicación estratégica</v>
      </c>
      <c r="V996" s="51" t="s">
        <v>242</v>
      </c>
      <c r="W996" s="248" t="str">
        <f>IFERROR(VLOOKUP(V996,TD!$N$34:$O$46,2,0)," ")</f>
        <v>Documentos de planeación</v>
      </c>
      <c r="X996" s="249" t="str">
        <f>CONCATENATE(V996,"_",W996)</f>
        <v>019_Documentos de planeación</v>
      </c>
      <c r="Y996" s="249" t="str">
        <f>CONCATENATE(U996," ",X996)</f>
        <v>13-Servicios para la planeación y sistemas de gestión y comunicación estratégica 019_Documentos de planeación</v>
      </c>
      <c r="Z996" s="248" t="str">
        <f>CONCATENATE(P996,Q996,R996,S996,V996)</f>
        <v>O23011745992024020713019</v>
      </c>
      <c r="AA996" s="248" t="str">
        <f>IFERROR(VLOOKUP(Y996,TD!$K$47:$L$65,2,0)," ")</f>
        <v>PM/0131/0113/45990190207</v>
      </c>
      <c r="AB996" s="53" t="s">
        <v>138</v>
      </c>
      <c r="AC996" s="263" t="s">
        <v>205</v>
      </c>
    </row>
    <row r="997" spans="2:29" ht="56" x14ac:dyDescent="0.35">
      <c r="B997" s="166">
        <v>20251094</v>
      </c>
      <c r="C997" s="50" t="s">
        <v>208</v>
      </c>
      <c r="D997" s="246" t="s">
        <v>36</v>
      </c>
      <c r="E997" s="51" t="s">
        <v>378</v>
      </c>
      <c r="F997" s="246" t="s">
        <v>1248</v>
      </c>
      <c r="G997" s="246" t="s">
        <v>156</v>
      </c>
      <c r="H997" s="93">
        <v>80111600</v>
      </c>
      <c r="I997" s="247">
        <v>10</v>
      </c>
      <c r="J997" s="247">
        <v>3</v>
      </c>
      <c r="K997" s="52">
        <v>0</v>
      </c>
      <c r="L997" s="53">
        <f>11260554-1876759</f>
        <v>9383795</v>
      </c>
      <c r="M997" s="136" t="s">
        <v>464</v>
      </c>
      <c r="N997" s="53" t="s">
        <v>113</v>
      </c>
      <c r="O997" s="51" t="s">
        <v>211</v>
      </c>
      <c r="P997" s="248" t="str">
        <f>IFERROR(VLOOKUP(C997,TD!$B$33:$F$37,2,0)," ")</f>
        <v>O230117</v>
      </c>
      <c r="Q997" s="248" t="str">
        <f>IFERROR(VLOOKUP(C997,TD!$B$33:$F$37,3,0)," ")</f>
        <v>4599</v>
      </c>
      <c r="R997" s="248">
        <f>IFERROR(VLOOKUP(C997,TD!$B$33:$F$37,4,0)," ")</f>
        <v>20240207</v>
      </c>
      <c r="S997" s="51" t="s">
        <v>193</v>
      </c>
      <c r="T997" s="248" t="str">
        <f>IFERROR(VLOOKUP(S997,TD!$J$34:$K$44,2,0)," ")</f>
        <v>Servicios para la planeación y sistemas de gestión y comunicación estratégica</v>
      </c>
      <c r="U997" s="249" t="str">
        <f>CONCATENATE(S997,"-",T997)</f>
        <v>13-Servicios para la planeación y sistemas de gestión y comunicación estratégica</v>
      </c>
      <c r="V997" s="51" t="s">
        <v>240</v>
      </c>
      <c r="W997" s="248" t="str">
        <f>IFERROR(VLOOKUP(V997,TD!$N$34:$O$46,2,0)," ")</f>
        <v>Servicio de asistencia técnica</v>
      </c>
      <c r="X997" s="249" t="str">
        <f>CONCATENATE(V997,"_",W997)</f>
        <v>031_Servicio de asistencia técnica</v>
      </c>
      <c r="Y997" s="249" t="str">
        <f>CONCATENATE(U997," ",X997)</f>
        <v>13-Servicios para la planeación y sistemas de gestión y comunicación estratégica 031_Servicio de asistencia técnica</v>
      </c>
      <c r="Z997" s="248" t="str">
        <f>CONCATENATE(P997,Q997,R997,S997,V997)</f>
        <v>O23011745992024020713031</v>
      </c>
      <c r="AA997" s="248" t="str">
        <f>IFERROR(VLOOKUP(Y997,TD!$K$47:$L$65,2,0)," ")</f>
        <v>PM/0131/0113/45990310207</v>
      </c>
      <c r="AB997" s="53" t="s">
        <v>138</v>
      </c>
      <c r="AC997" s="250" t="s">
        <v>205</v>
      </c>
    </row>
    <row r="998" spans="2:29" ht="56" x14ac:dyDescent="0.35">
      <c r="B998" s="166">
        <v>20251095</v>
      </c>
      <c r="C998" s="50" t="s">
        <v>209</v>
      </c>
      <c r="D998" s="246" t="s">
        <v>165</v>
      </c>
      <c r="E998" s="51" t="s">
        <v>484</v>
      </c>
      <c r="F998" s="246" t="s">
        <v>1249</v>
      </c>
      <c r="G998" s="246" t="s">
        <v>155</v>
      </c>
      <c r="H998" s="93">
        <v>80111600</v>
      </c>
      <c r="I998" s="247">
        <v>10</v>
      </c>
      <c r="J998" s="247">
        <v>3</v>
      </c>
      <c r="K998" s="52">
        <v>0</v>
      </c>
      <c r="L998" s="53">
        <v>18750000</v>
      </c>
      <c r="M998" s="136" t="s">
        <v>464</v>
      </c>
      <c r="N998" s="53" t="s">
        <v>113</v>
      </c>
      <c r="O998" s="51" t="s">
        <v>229</v>
      </c>
      <c r="P998" s="248" t="str">
        <f>IFERROR(VLOOKUP(C998,TD!$B$33:$F$37,2,0)," ")</f>
        <v>O230117</v>
      </c>
      <c r="Q998" s="248" t="str">
        <f>IFERROR(VLOOKUP(C998,TD!$B$33:$F$37,3,0)," ")</f>
        <v>4503</v>
      </c>
      <c r="R998" s="248">
        <f>IFERROR(VLOOKUP(C998,TD!$B$33:$F$37,4,0)," ")</f>
        <v>20240255</v>
      </c>
      <c r="S998" s="51" t="s">
        <v>183</v>
      </c>
      <c r="T998" s="248" t="str">
        <f>IFERROR(VLOOKUP(S998,TD!$J$34:$K$44,2,0)," ")</f>
        <v>Servicio de formación en gestión del riesgo de incendios para el personal UAECOB</v>
      </c>
      <c r="U998" s="249" t="str">
        <f>CONCATENATE(S998,"-",T998)</f>
        <v>07-Servicio de formación en gestión del riesgo de incendios para el personal UAECOB</v>
      </c>
      <c r="V998" s="51" t="s">
        <v>233</v>
      </c>
      <c r="W998" s="248" t="str">
        <f>IFERROR(VLOOKUP(V998,TD!$N$34:$O$46,2,0)," ")</f>
        <v>Servicio de educación informal</v>
      </c>
      <c r="X998" s="249" t="str">
        <f>CONCATENATE(V998,"_",W998)</f>
        <v>002_Servicio de educación informal</v>
      </c>
      <c r="Y998" s="249" t="str">
        <f>CONCATENATE(U998," ",X998)</f>
        <v>07-Servicio de formación en gestión del riesgo de incendios para el personal UAECOB 002_Servicio de educación informal</v>
      </c>
      <c r="Z998" s="248" t="str">
        <f>CONCATENATE(P998,Q998,R998,S998,V998)</f>
        <v>O23011745032024025507002</v>
      </c>
      <c r="AA998" s="248" t="str">
        <f>IFERROR(VLOOKUP(Y998,TD!$K$47:$L$65,2,0)," ")</f>
        <v>PM/0131/0107/45030020255</v>
      </c>
      <c r="AB998" s="53" t="s">
        <v>138</v>
      </c>
      <c r="AC998" s="250" t="s">
        <v>205</v>
      </c>
    </row>
    <row r="999" spans="2:29" ht="56" x14ac:dyDescent="0.35">
      <c r="B999" s="132">
        <v>20251096</v>
      </c>
      <c r="C999" s="50" t="s">
        <v>209</v>
      </c>
      <c r="D999" s="246" t="s">
        <v>165</v>
      </c>
      <c r="E999" s="51" t="s">
        <v>484</v>
      </c>
      <c r="F999" s="246" t="s">
        <v>1250</v>
      </c>
      <c r="G999" s="246" t="s">
        <v>155</v>
      </c>
      <c r="H999" s="93">
        <v>80111600</v>
      </c>
      <c r="I999" s="247">
        <v>10</v>
      </c>
      <c r="J999" s="247">
        <v>3</v>
      </c>
      <c r="K999" s="52">
        <v>0</v>
      </c>
      <c r="L999" s="53">
        <v>16250000</v>
      </c>
      <c r="M999" s="136" t="s">
        <v>464</v>
      </c>
      <c r="N999" s="53" t="s">
        <v>113</v>
      </c>
      <c r="O999" s="51" t="s">
        <v>229</v>
      </c>
      <c r="P999" s="248" t="str">
        <f>IFERROR(VLOOKUP(C999,TD!$B$33:$F$37,2,0)," ")</f>
        <v>O230117</v>
      </c>
      <c r="Q999" s="248" t="str">
        <f>IFERROR(VLOOKUP(C999,TD!$B$33:$F$37,3,0)," ")</f>
        <v>4503</v>
      </c>
      <c r="R999" s="248">
        <f>IFERROR(VLOOKUP(C999,TD!$B$33:$F$37,4,0)," ")</f>
        <v>20240255</v>
      </c>
      <c r="S999" s="51" t="s">
        <v>183</v>
      </c>
      <c r="T999" s="248" t="str">
        <f>IFERROR(VLOOKUP(S999,TD!$J$34:$K$44,2,0)," ")</f>
        <v>Servicio de formación en gestión del riesgo de incendios para el personal UAECOB</v>
      </c>
      <c r="U999" s="249" t="str">
        <f>CONCATENATE(S999,"-",T999)</f>
        <v>07-Servicio de formación en gestión del riesgo de incendios para el personal UAECOB</v>
      </c>
      <c r="V999" s="51" t="s">
        <v>233</v>
      </c>
      <c r="W999" s="248" t="str">
        <f>IFERROR(VLOOKUP(V999,TD!$N$34:$O$46,2,0)," ")</f>
        <v>Servicio de educación informal</v>
      </c>
      <c r="X999" s="249" t="str">
        <f>CONCATENATE(V999,"_",W999)</f>
        <v>002_Servicio de educación informal</v>
      </c>
      <c r="Y999" s="249" t="str">
        <f>CONCATENATE(U999," ",X999)</f>
        <v>07-Servicio de formación en gestión del riesgo de incendios para el personal UAECOB 002_Servicio de educación informal</v>
      </c>
      <c r="Z999" s="248" t="str">
        <f>CONCATENATE(P999,Q999,R999,S999,V999)</f>
        <v>O23011745032024025507002</v>
      </c>
      <c r="AA999" s="248" t="str">
        <f>IFERROR(VLOOKUP(Y999,TD!$K$47:$L$65,2,0)," ")</f>
        <v>PM/0131/0107/45030020255</v>
      </c>
      <c r="AB999" s="53" t="s">
        <v>138</v>
      </c>
      <c r="AC999" s="250" t="s">
        <v>205</v>
      </c>
    </row>
    <row r="1000" spans="2:29" ht="56" x14ac:dyDescent="0.35">
      <c r="B1000" s="132">
        <v>20251097</v>
      </c>
      <c r="C1000" s="50" t="s">
        <v>209</v>
      </c>
      <c r="D1000" s="246" t="s">
        <v>165</v>
      </c>
      <c r="E1000" s="51" t="s">
        <v>484</v>
      </c>
      <c r="F1000" s="246" t="s">
        <v>1251</v>
      </c>
      <c r="G1000" s="246" t="s">
        <v>155</v>
      </c>
      <c r="H1000" s="93">
        <v>80111600</v>
      </c>
      <c r="I1000" s="247">
        <v>10</v>
      </c>
      <c r="J1000" s="247">
        <v>3</v>
      </c>
      <c r="K1000" s="52">
        <v>0</v>
      </c>
      <c r="L1000" s="53">
        <v>15000000</v>
      </c>
      <c r="M1000" s="136" t="s">
        <v>464</v>
      </c>
      <c r="N1000" s="53" t="s">
        <v>113</v>
      </c>
      <c r="O1000" s="51" t="s">
        <v>229</v>
      </c>
      <c r="P1000" s="248" t="str">
        <f>IFERROR(VLOOKUP(C1000,TD!$B$33:$F$37,2,0)," ")</f>
        <v>O230117</v>
      </c>
      <c r="Q1000" s="248" t="str">
        <f>IFERROR(VLOOKUP(C1000,TD!$B$33:$F$37,3,0)," ")</f>
        <v>4503</v>
      </c>
      <c r="R1000" s="248">
        <f>IFERROR(VLOOKUP(C1000,TD!$B$33:$F$37,4,0)," ")</f>
        <v>20240255</v>
      </c>
      <c r="S1000" s="51" t="s">
        <v>183</v>
      </c>
      <c r="T1000" s="248" t="str">
        <f>IFERROR(VLOOKUP(S1000,TD!$J$34:$K$44,2,0)," ")</f>
        <v>Servicio de formación en gestión del riesgo de incendios para el personal UAECOB</v>
      </c>
      <c r="U1000" s="249" t="str">
        <f>CONCATENATE(S1000,"-",T1000)</f>
        <v>07-Servicio de formación en gestión del riesgo de incendios para el personal UAECOB</v>
      </c>
      <c r="V1000" s="51" t="s">
        <v>233</v>
      </c>
      <c r="W1000" s="248" t="str">
        <f>IFERROR(VLOOKUP(V1000,TD!$N$34:$O$46,2,0)," ")</f>
        <v>Servicio de educación informal</v>
      </c>
      <c r="X1000" s="249" t="str">
        <f>CONCATENATE(V1000,"_",W1000)</f>
        <v>002_Servicio de educación informal</v>
      </c>
      <c r="Y1000" s="249" t="str">
        <f>CONCATENATE(U1000," ",X1000)</f>
        <v>07-Servicio de formación en gestión del riesgo de incendios para el personal UAECOB 002_Servicio de educación informal</v>
      </c>
      <c r="Z1000" s="248" t="str">
        <f>CONCATENATE(P1000,Q1000,R1000,S1000,V1000)</f>
        <v>O23011745032024025507002</v>
      </c>
      <c r="AA1000" s="248" t="str">
        <f>IFERROR(VLOOKUP(Y1000,TD!$K$47:$L$65,2,0)," ")</f>
        <v>PM/0131/0107/45030020255</v>
      </c>
      <c r="AB1000" s="53" t="s">
        <v>138</v>
      </c>
      <c r="AC1000" s="250" t="s">
        <v>205</v>
      </c>
    </row>
    <row r="1001" spans="2:29" ht="56" x14ac:dyDescent="0.35">
      <c r="B1001" s="132">
        <v>20251099</v>
      </c>
      <c r="C1001" s="50" t="s">
        <v>209</v>
      </c>
      <c r="D1001" s="246" t="s">
        <v>165</v>
      </c>
      <c r="E1001" s="51" t="s">
        <v>484</v>
      </c>
      <c r="F1001" s="246" t="s">
        <v>1252</v>
      </c>
      <c r="G1001" s="246" t="s">
        <v>155</v>
      </c>
      <c r="H1001" s="93">
        <v>80111600</v>
      </c>
      <c r="I1001" s="247">
        <v>11</v>
      </c>
      <c r="J1001" s="247">
        <v>1.5</v>
      </c>
      <c r="K1001" s="52">
        <v>0</v>
      </c>
      <c r="L1001" s="53">
        <v>10080000</v>
      </c>
      <c r="M1001" s="136" t="s">
        <v>464</v>
      </c>
      <c r="N1001" s="53" t="s">
        <v>113</v>
      </c>
      <c r="O1001" s="51" t="s">
        <v>229</v>
      </c>
      <c r="P1001" s="248" t="str">
        <f>IFERROR(VLOOKUP(C1001,TD!$B$33:$F$37,2,0)," ")</f>
        <v>O230117</v>
      </c>
      <c r="Q1001" s="248" t="str">
        <f>IFERROR(VLOOKUP(C1001,TD!$B$33:$F$37,3,0)," ")</f>
        <v>4503</v>
      </c>
      <c r="R1001" s="248">
        <f>IFERROR(VLOOKUP(C1001,TD!$B$33:$F$37,4,0)," ")</f>
        <v>20240255</v>
      </c>
      <c r="S1001" s="51" t="s">
        <v>183</v>
      </c>
      <c r="T1001" s="248" t="str">
        <f>IFERROR(VLOOKUP(S1001,TD!$J$34:$K$44,2,0)," ")</f>
        <v>Servicio de formación en gestión del riesgo de incendios para el personal UAECOB</v>
      </c>
      <c r="U1001" s="249" t="str">
        <f>CONCATENATE(S1001,"-",T1001)</f>
        <v>07-Servicio de formación en gestión del riesgo de incendios para el personal UAECOB</v>
      </c>
      <c r="V1001" s="51" t="s">
        <v>233</v>
      </c>
      <c r="W1001" s="248" t="str">
        <f>IFERROR(VLOOKUP(V1001,TD!$N$34:$O$46,2,0)," ")</f>
        <v>Servicio de educación informal</v>
      </c>
      <c r="X1001" s="249" t="str">
        <f>CONCATENATE(V1001,"_",W1001)</f>
        <v>002_Servicio de educación informal</v>
      </c>
      <c r="Y1001" s="249" t="str">
        <f>CONCATENATE(U1001," ",X1001)</f>
        <v>07-Servicio de formación en gestión del riesgo de incendios para el personal UAECOB 002_Servicio de educación informal</v>
      </c>
      <c r="Z1001" s="248" t="str">
        <f>CONCATENATE(P1001,Q1001,R1001,S1001,V1001)</f>
        <v>O23011745032024025507002</v>
      </c>
      <c r="AA1001" s="248" t="str">
        <f>IFERROR(VLOOKUP(Y1001,TD!$K$47:$L$65,2,0)," ")</f>
        <v>PM/0131/0107/45030020255</v>
      </c>
      <c r="AB1001" s="53" t="s">
        <v>120</v>
      </c>
      <c r="AC1001" s="250" t="s">
        <v>204</v>
      </c>
    </row>
    <row r="1002" spans="2:29" ht="70" x14ac:dyDescent="0.35">
      <c r="B1002" s="132">
        <v>20251100</v>
      </c>
      <c r="C1002" s="50" t="s">
        <v>209</v>
      </c>
      <c r="D1002" s="246" t="s">
        <v>165</v>
      </c>
      <c r="E1002" s="51" t="s">
        <v>484</v>
      </c>
      <c r="F1002" s="246" t="s">
        <v>1325</v>
      </c>
      <c r="G1002" s="246" t="s">
        <v>155</v>
      </c>
      <c r="H1002" s="93">
        <v>80111600</v>
      </c>
      <c r="I1002" s="247">
        <v>11</v>
      </c>
      <c r="J1002" s="247">
        <v>1.5</v>
      </c>
      <c r="K1002" s="52">
        <v>0</v>
      </c>
      <c r="L1002" s="53">
        <v>10240000</v>
      </c>
      <c r="M1002" s="136" t="s">
        <v>464</v>
      </c>
      <c r="N1002" s="53" t="s">
        <v>113</v>
      </c>
      <c r="O1002" s="51" t="s">
        <v>229</v>
      </c>
      <c r="P1002" s="248" t="str">
        <f>IFERROR(VLOOKUP(C1002,TD!$B$33:$F$37,2,0)," ")</f>
        <v>O230117</v>
      </c>
      <c r="Q1002" s="248" t="str">
        <f>IFERROR(VLOOKUP(C1002,TD!$B$33:$F$37,3,0)," ")</f>
        <v>4503</v>
      </c>
      <c r="R1002" s="248">
        <f>IFERROR(VLOOKUP(C1002,TD!$B$33:$F$37,4,0)," ")</f>
        <v>20240255</v>
      </c>
      <c r="S1002" s="51" t="s">
        <v>183</v>
      </c>
      <c r="T1002" s="248" t="str">
        <f>IFERROR(VLOOKUP(S1002,TD!$J$34:$K$44,2,0)," ")</f>
        <v>Servicio de formación en gestión del riesgo de incendios para el personal UAECOB</v>
      </c>
      <c r="U1002" s="249" t="str">
        <f>CONCATENATE(S1002,"-",T1002)</f>
        <v>07-Servicio de formación en gestión del riesgo de incendios para el personal UAECOB</v>
      </c>
      <c r="V1002" s="51" t="s">
        <v>233</v>
      </c>
      <c r="W1002" s="248" t="str">
        <f>IFERROR(VLOOKUP(V1002,TD!$N$34:$O$46,2,0)," ")</f>
        <v>Servicio de educación informal</v>
      </c>
      <c r="X1002" s="249" t="str">
        <f>CONCATENATE(V1002,"_",W1002)</f>
        <v>002_Servicio de educación informal</v>
      </c>
      <c r="Y1002" s="249" t="str">
        <f>CONCATENATE(U1002," ",X1002)</f>
        <v>07-Servicio de formación en gestión del riesgo de incendios para el personal UAECOB 002_Servicio de educación informal</v>
      </c>
      <c r="Z1002" s="248" t="str">
        <f>CONCATENATE(P1002,Q1002,R1002,S1002,V1002)</f>
        <v>O23011745032024025507002</v>
      </c>
      <c r="AA1002" s="248" t="str">
        <f>IFERROR(VLOOKUP(Y1002,TD!$K$47:$L$65,2,0)," ")</f>
        <v>PM/0131/0107/45030020255</v>
      </c>
      <c r="AB1002" s="53" t="s">
        <v>138</v>
      </c>
      <c r="AC1002" s="250" t="s">
        <v>204</v>
      </c>
    </row>
    <row r="1003" spans="2:29" ht="70" x14ac:dyDescent="0.35">
      <c r="B1003" s="166">
        <v>20251101</v>
      </c>
      <c r="C1003" s="50" t="s">
        <v>209</v>
      </c>
      <c r="D1003" s="246" t="s">
        <v>165</v>
      </c>
      <c r="E1003" s="51" t="s">
        <v>484</v>
      </c>
      <c r="F1003" s="246" t="s">
        <v>1326</v>
      </c>
      <c r="G1003" s="246" t="s">
        <v>155</v>
      </c>
      <c r="H1003" s="93">
        <v>80111600</v>
      </c>
      <c r="I1003" s="247">
        <v>12</v>
      </c>
      <c r="J1003" s="247">
        <v>1</v>
      </c>
      <c r="K1003" s="52">
        <v>0</v>
      </c>
      <c r="L1003" s="53">
        <v>5750000</v>
      </c>
      <c r="M1003" s="136" t="s">
        <v>464</v>
      </c>
      <c r="N1003" s="53" t="s">
        <v>113</v>
      </c>
      <c r="O1003" s="51" t="s">
        <v>229</v>
      </c>
      <c r="P1003" s="248" t="str">
        <f>IFERROR(VLOOKUP(C1003,TD!$B$33:$F$37,2,0)," ")</f>
        <v>O230117</v>
      </c>
      <c r="Q1003" s="248" t="str">
        <f>IFERROR(VLOOKUP(C1003,TD!$B$33:$F$37,3,0)," ")</f>
        <v>4503</v>
      </c>
      <c r="R1003" s="248">
        <f>IFERROR(VLOOKUP(C1003,TD!$B$33:$F$37,4,0)," ")</f>
        <v>20240255</v>
      </c>
      <c r="S1003" s="51" t="s">
        <v>183</v>
      </c>
      <c r="T1003" s="248" t="str">
        <f>IFERROR(VLOOKUP(S1003,TD!$J$34:$K$44,2,0)," ")</f>
        <v>Servicio de formación en gestión del riesgo de incendios para el personal UAECOB</v>
      </c>
      <c r="U1003" s="249" t="str">
        <f>CONCATENATE(S1003,"-",T1003)</f>
        <v>07-Servicio de formación en gestión del riesgo de incendios para el personal UAECOB</v>
      </c>
      <c r="V1003" s="51" t="s">
        <v>233</v>
      </c>
      <c r="W1003" s="248" t="str">
        <f>IFERROR(VLOOKUP(V1003,TD!$N$34:$O$46,2,0)," ")</f>
        <v>Servicio de educación informal</v>
      </c>
      <c r="X1003" s="249" t="str">
        <f>CONCATENATE(V1003,"_",W1003)</f>
        <v>002_Servicio de educación informal</v>
      </c>
      <c r="Y1003" s="249" t="str">
        <f>CONCATENATE(U1003," ",X1003)</f>
        <v>07-Servicio de formación en gestión del riesgo de incendios para el personal UAECOB 002_Servicio de educación informal</v>
      </c>
      <c r="Z1003" s="248" t="str">
        <f>CONCATENATE(P1003,Q1003,R1003,S1003,V1003)</f>
        <v>O23011745032024025507002</v>
      </c>
      <c r="AA1003" s="248" t="str">
        <f>IFERROR(VLOOKUP(Y1003,TD!$K$47:$L$65,2,0)," ")</f>
        <v>PM/0131/0107/45030020255</v>
      </c>
      <c r="AB1003" s="53" t="s">
        <v>138</v>
      </c>
      <c r="AC1003" s="250" t="s">
        <v>204</v>
      </c>
    </row>
    <row r="1004" spans="2:29" ht="56" x14ac:dyDescent="0.35">
      <c r="B1004" s="132">
        <v>20251102</v>
      </c>
      <c r="C1004" s="50" t="s">
        <v>209</v>
      </c>
      <c r="D1004" s="246" t="s">
        <v>165</v>
      </c>
      <c r="E1004" s="51" t="s">
        <v>484</v>
      </c>
      <c r="F1004" s="246" t="s">
        <v>1253</v>
      </c>
      <c r="G1004" s="246" t="s">
        <v>156</v>
      </c>
      <c r="H1004" s="93">
        <v>80111600</v>
      </c>
      <c r="I1004" s="247">
        <v>11</v>
      </c>
      <c r="J1004" s="247">
        <v>2</v>
      </c>
      <c r="K1004" s="52">
        <v>0</v>
      </c>
      <c r="L1004" s="53">
        <v>8800000</v>
      </c>
      <c r="M1004" s="136" t="s">
        <v>464</v>
      </c>
      <c r="N1004" s="53" t="s">
        <v>113</v>
      </c>
      <c r="O1004" s="51" t="s">
        <v>229</v>
      </c>
      <c r="P1004" s="248" t="str">
        <f>IFERROR(VLOOKUP(C1004,TD!$B$33:$F$37,2,0)," ")</f>
        <v>O230117</v>
      </c>
      <c r="Q1004" s="248" t="str">
        <f>IFERROR(VLOOKUP(C1004,TD!$B$33:$F$37,3,0)," ")</f>
        <v>4503</v>
      </c>
      <c r="R1004" s="248">
        <f>IFERROR(VLOOKUP(C1004,TD!$B$33:$F$37,4,0)," ")</f>
        <v>20240255</v>
      </c>
      <c r="S1004" s="51" t="s">
        <v>183</v>
      </c>
      <c r="T1004" s="248" t="str">
        <f>IFERROR(VLOOKUP(S1004,TD!$J$34:$K$44,2,0)," ")</f>
        <v>Servicio de formación en gestión del riesgo de incendios para el personal UAECOB</v>
      </c>
      <c r="U1004" s="249" t="str">
        <f>CONCATENATE(S1004,"-",T1004)</f>
        <v>07-Servicio de formación en gestión del riesgo de incendios para el personal UAECOB</v>
      </c>
      <c r="V1004" s="51" t="s">
        <v>233</v>
      </c>
      <c r="W1004" s="248" t="str">
        <f>IFERROR(VLOOKUP(V1004,TD!$N$34:$O$46,2,0)," ")</f>
        <v>Servicio de educación informal</v>
      </c>
      <c r="X1004" s="249" t="str">
        <f>CONCATENATE(V1004,"_",W1004)</f>
        <v>002_Servicio de educación informal</v>
      </c>
      <c r="Y1004" s="249" t="str">
        <f>CONCATENATE(U1004," ",X1004)</f>
        <v>07-Servicio de formación en gestión del riesgo de incendios para el personal UAECOB 002_Servicio de educación informal</v>
      </c>
      <c r="Z1004" s="248" t="str">
        <f>CONCATENATE(P1004,Q1004,R1004,S1004,V1004)</f>
        <v>O23011745032024025507002</v>
      </c>
      <c r="AA1004" s="248" t="str">
        <f>IFERROR(VLOOKUP(Y1004,TD!$K$47:$L$65,2,0)," ")</f>
        <v>PM/0131/0107/45030020255</v>
      </c>
      <c r="AB1004" s="53" t="s">
        <v>138</v>
      </c>
      <c r="AC1004" s="250" t="s">
        <v>204</v>
      </c>
    </row>
    <row r="1005" spans="2:29" ht="56" x14ac:dyDescent="0.35">
      <c r="B1005" s="132">
        <v>20251103</v>
      </c>
      <c r="C1005" s="50" t="s">
        <v>209</v>
      </c>
      <c r="D1005" s="246" t="s">
        <v>165</v>
      </c>
      <c r="E1005" s="51" t="s">
        <v>484</v>
      </c>
      <c r="F1005" s="246" t="s">
        <v>1254</v>
      </c>
      <c r="G1005" s="246" t="s">
        <v>155</v>
      </c>
      <c r="H1005" s="93">
        <v>80111600</v>
      </c>
      <c r="I1005" s="247">
        <v>11</v>
      </c>
      <c r="J1005" s="247">
        <v>2</v>
      </c>
      <c r="K1005" s="52">
        <v>0</v>
      </c>
      <c r="L1005" s="53">
        <v>12600000</v>
      </c>
      <c r="M1005" s="136" t="s">
        <v>464</v>
      </c>
      <c r="N1005" s="53" t="s">
        <v>113</v>
      </c>
      <c r="O1005" s="51" t="s">
        <v>229</v>
      </c>
      <c r="P1005" s="248" t="str">
        <f>IFERROR(VLOOKUP(C1005,TD!$B$33:$F$37,2,0)," ")</f>
        <v>O230117</v>
      </c>
      <c r="Q1005" s="248" t="str">
        <f>IFERROR(VLOOKUP(C1005,TD!$B$33:$F$37,3,0)," ")</f>
        <v>4503</v>
      </c>
      <c r="R1005" s="248">
        <f>IFERROR(VLOOKUP(C1005,TD!$B$33:$F$37,4,0)," ")</f>
        <v>20240255</v>
      </c>
      <c r="S1005" s="51" t="s">
        <v>183</v>
      </c>
      <c r="T1005" s="248" t="str">
        <f>IFERROR(VLOOKUP(S1005,TD!$J$34:$K$44,2,0)," ")</f>
        <v>Servicio de formación en gestión del riesgo de incendios para el personal UAECOB</v>
      </c>
      <c r="U1005" s="249" t="str">
        <f>CONCATENATE(S1005,"-",T1005)</f>
        <v>07-Servicio de formación en gestión del riesgo de incendios para el personal UAECOB</v>
      </c>
      <c r="V1005" s="51" t="s">
        <v>233</v>
      </c>
      <c r="W1005" s="248" t="str">
        <f>IFERROR(VLOOKUP(V1005,TD!$N$34:$O$46,2,0)," ")</f>
        <v>Servicio de educación informal</v>
      </c>
      <c r="X1005" s="249" t="str">
        <f>CONCATENATE(V1005,"_",W1005)</f>
        <v>002_Servicio de educación informal</v>
      </c>
      <c r="Y1005" s="249" t="str">
        <f>CONCATENATE(U1005," ",X1005)</f>
        <v>07-Servicio de formación en gestión del riesgo de incendios para el personal UAECOB 002_Servicio de educación informal</v>
      </c>
      <c r="Z1005" s="248" t="str">
        <f>CONCATENATE(P1005,Q1005,R1005,S1005,V1005)</f>
        <v>O23011745032024025507002</v>
      </c>
      <c r="AA1005" s="248" t="str">
        <f>IFERROR(VLOOKUP(Y1005,TD!$K$47:$L$65,2,0)," ")</f>
        <v>PM/0131/0107/45030020255</v>
      </c>
      <c r="AB1005" s="53" t="s">
        <v>138</v>
      </c>
      <c r="AC1005" s="250" t="s">
        <v>204</v>
      </c>
    </row>
    <row r="1006" spans="2:29" ht="56" x14ac:dyDescent="0.35">
      <c r="B1006" s="132">
        <v>20251105</v>
      </c>
      <c r="C1006" s="50" t="s">
        <v>209</v>
      </c>
      <c r="D1006" s="246" t="s">
        <v>165</v>
      </c>
      <c r="E1006" s="51" t="s">
        <v>484</v>
      </c>
      <c r="F1006" s="246" t="s">
        <v>1255</v>
      </c>
      <c r="G1006" s="246" t="s">
        <v>155</v>
      </c>
      <c r="H1006" s="93">
        <v>80111600</v>
      </c>
      <c r="I1006" s="247">
        <v>11</v>
      </c>
      <c r="J1006" s="247">
        <v>1.5</v>
      </c>
      <c r="K1006" s="52">
        <v>0</v>
      </c>
      <c r="L1006" s="53">
        <v>7050000</v>
      </c>
      <c r="M1006" s="136" t="s">
        <v>464</v>
      </c>
      <c r="N1006" s="53" t="s">
        <v>113</v>
      </c>
      <c r="O1006" s="51" t="s">
        <v>229</v>
      </c>
      <c r="P1006" s="248" t="str">
        <f>IFERROR(VLOOKUP(C1006,TD!$B$33:$F$37,2,0)," ")</f>
        <v>O230117</v>
      </c>
      <c r="Q1006" s="248" t="str">
        <f>IFERROR(VLOOKUP(C1006,TD!$B$33:$F$37,3,0)," ")</f>
        <v>4503</v>
      </c>
      <c r="R1006" s="248">
        <f>IFERROR(VLOOKUP(C1006,TD!$B$33:$F$37,4,0)," ")</f>
        <v>20240255</v>
      </c>
      <c r="S1006" s="51" t="s">
        <v>183</v>
      </c>
      <c r="T1006" s="248" t="str">
        <f>IFERROR(VLOOKUP(S1006,TD!$J$34:$K$44,2,0)," ")</f>
        <v>Servicio de formación en gestión del riesgo de incendios para el personal UAECOB</v>
      </c>
      <c r="U1006" s="249" t="str">
        <f>CONCATENATE(S1006,"-",T1006)</f>
        <v>07-Servicio de formación en gestión del riesgo de incendios para el personal UAECOB</v>
      </c>
      <c r="V1006" s="51" t="s">
        <v>233</v>
      </c>
      <c r="W1006" s="248" t="str">
        <f>IFERROR(VLOOKUP(V1006,TD!$N$34:$O$46,2,0)," ")</f>
        <v>Servicio de educación informal</v>
      </c>
      <c r="X1006" s="249" t="str">
        <f>CONCATENATE(V1006,"_",W1006)</f>
        <v>002_Servicio de educación informal</v>
      </c>
      <c r="Y1006" s="249" t="str">
        <f>CONCATENATE(U1006," ",X1006)</f>
        <v>07-Servicio de formación en gestión del riesgo de incendios para el personal UAECOB 002_Servicio de educación informal</v>
      </c>
      <c r="Z1006" s="248" t="str">
        <f>CONCATENATE(P1006,Q1006,R1006,S1006,V1006)</f>
        <v>O23011745032024025507002</v>
      </c>
      <c r="AA1006" s="248" t="str">
        <f>IFERROR(VLOOKUP(Y1006,TD!$K$47:$L$65,2,0)," ")</f>
        <v>PM/0131/0107/45030020255</v>
      </c>
      <c r="AB1006" s="53" t="s">
        <v>138</v>
      </c>
      <c r="AC1006" s="250" t="s">
        <v>204</v>
      </c>
    </row>
    <row r="1007" spans="2:29" ht="56" x14ac:dyDescent="0.35">
      <c r="B1007" s="132">
        <v>20251106</v>
      </c>
      <c r="C1007" s="50" t="s">
        <v>209</v>
      </c>
      <c r="D1007" s="246" t="s">
        <v>165</v>
      </c>
      <c r="E1007" s="51" t="s">
        <v>484</v>
      </c>
      <c r="F1007" s="246" t="s">
        <v>1256</v>
      </c>
      <c r="G1007" s="246" t="s">
        <v>155</v>
      </c>
      <c r="H1007" s="93">
        <v>80111600</v>
      </c>
      <c r="I1007" s="247">
        <v>10</v>
      </c>
      <c r="J1007" s="247">
        <v>2</v>
      </c>
      <c r="K1007" s="52">
        <v>0</v>
      </c>
      <c r="L1007" s="53">
        <v>11500000</v>
      </c>
      <c r="M1007" s="136" t="s">
        <v>464</v>
      </c>
      <c r="N1007" s="53" t="s">
        <v>113</v>
      </c>
      <c r="O1007" s="51" t="s">
        <v>229</v>
      </c>
      <c r="P1007" s="248" t="str">
        <f>IFERROR(VLOOKUP(C1007,TD!$B$33:$F$37,2,0)," ")</f>
        <v>O230117</v>
      </c>
      <c r="Q1007" s="248" t="str">
        <f>IFERROR(VLOOKUP(C1007,TD!$B$33:$F$37,3,0)," ")</f>
        <v>4503</v>
      </c>
      <c r="R1007" s="248">
        <f>IFERROR(VLOOKUP(C1007,TD!$B$33:$F$37,4,0)," ")</f>
        <v>20240255</v>
      </c>
      <c r="S1007" s="51" t="s">
        <v>183</v>
      </c>
      <c r="T1007" s="248" t="str">
        <f>IFERROR(VLOOKUP(S1007,TD!$J$34:$K$44,2,0)," ")</f>
        <v>Servicio de formación en gestión del riesgo de incendios para el personal UAECOB</v>
      </c>
      <c r="U1007" s="249" t="str">
        <f>CONCATENATE(S1007,"-",T1007)</f>
        <v>07-Servicio de formación en gestión del riesgo de incendios para el personal UAECOB</v>
      </c>
      <c r="V1007" s="51" t="s">
        <v>233</v>
      </c>
      <c r="W1007" s="248" t="str">
        <f>IFERROR(VLOOKUP(V1007,TD!$N$34:$O$46,2,0)," ")</f>
        <v>Servicio de educación informal</v>
      </c>
      <c r="X1007" s="249" t="str">
        <f>CONCATENATE(V1007,"_",W1007)</f>
        <v>002_Servicio de educación informal</v>
      </c>
      <c r="Y1007" s="249" t="str">
        <f>CONCATENATE(U1007," ",X1007)</f>
        <v>07-Servicio de formación en gestión del riesgo de incendios para el personal UAECOB 002_Servicio de educación informal</v>
      </c>
      <c r="Z1007" s="248" t="str">
        <f>CONCATENATE(P1007,Q1007,R1007,S1007,V1007)</f>
        <v>O23011745032024025507002</v>
      </c>
      <c r="AA1007" s="248" t="str">
        <f>IFERROR(VLOOKUP(Y1007,TD!$K$47:$L$65,2,0)," ")</f>
        <v>PM/0131/0107/45030020255</v>
      </c>
      <c r="AB1007" s="53" t="s">
        <v>138</v>
      </c>
      <c r="AC1007" s="250" t="s">
        <v>204</v>
      </c>
    </row>
    <row r="1008" spans="2:29" ht="56" x14ac:dyDescent="0.35">
      <c r="B1008" s="137">
        <v>20251107</v>
      </c>
      <c r="C1008" s="129" t="s">
        <v>209</v>
      </c>
      <c r="D1008" s="251" t="s">
        <v>165</v>
      </c>
      <c r="E1008" s="252" t="s">
        <v>484</v>
      </c>
      <c r="F1008" s="251" t="s">
        <v>1257</v>
      </c>
      <c r="G1008" s="251" t="s">
        <v>156</v>
      </c>
      <c r="H1008" s="130">
        <v>80111600</v>
      </c>
      <c r="I1008" s="253">
        <v>11</v>
      </c>
      <c r="J1008" s="253">
        <v>2</v>
      </c>
      <c r="K1008" s="126">
        <v>0</v>
      </c>
      <c r="L1008" s="125">
        <v>3829333</v>
      </c>
      <c r="M1008" s="159" t="s">
        <v>464</v>
      </c>
      <c r="N1008" s="125" t="s">
        <v>113</v>
      </c>
      <c r="O1008" s="252" t="s">
        <v>229</v>
      </c>
      <c r="P1008" s="254" t="str">
        <f>IFERROR(VLOOKUP(C1008,TD!$B$33:$F$37,2,0)," ")</f>
        <v>O230117</v>
      </c>
      <c r="Q1008" s="254" t="str">
        <f>IFERROR(VLOOKUP(C1008,TD!$B$33:$F$37,3,0)," ")</f>
        <v>4503</v>
      </c>
      <c r="R1008" s="254">
        <f>IFERROR(VLOOKUP(C1008,TD!$B$33:$F$37,4,0)," ")</f>
        <v>20240255</v>
      </c>
      <c r="S1008" s="252" t="s">
        <v>183</v>
      </c>
      <c r="T1008" s="254" t="str">
        <f>IFERROR(VLOOKUP(S1008,TD!$J$34:$K$44,2,0)," ")</f>
        <v>Servicio de formación en gestión del riesgo de incendios para el personal UAECOB</v>
      </c>
      <c r="U1008" s="249" t="str">
        <f>CONCATENATE(S1008,"-",T1008)</f>
        <v>07-Servicio de formación en gestión del riesgo de incendios para el personal UAECOB</v>
      </c>
      <c r="V1008" s="252" t="s">
        <v>233</v>
      </c>
      <c r="W1008" s="254" t="str">
        <f>IFERROR(VLOOKUP(V1008,TD!$N$34:$O$46,2,0)," ")</f>
        <v>Servicio de educación informal</v>
      </c>
      <c r="X1008" s="249" t="str">
        <f>CONCATENATE(V1008,"_",W1008)</f>
        <v>002_Servicio de educación informal</v>
      </c>
      <c r="Y1008" s="249" t="str">
        <f>CONCATENATE(U1008," ",X1008)</f>
        <v>07-Servicio de formación en gestión del riesgo de incendios para el personal UAECOB 002_Servicio de educación informal</v>
      </c>
      <c r="Z1008" s="254" t="str">
        <f>CONCATENATE(P1008,Q1008,R1008,S1008,V1008)</f>
        <v>O23011745032024025507002</v>
      </c>
      <c r="AA1008" s="254" t="str">
        <f>IFERROR(VLOOKUP(Y1008,TD!$K$47:$L$65,2,0)," ")</f>
        <v>PM/0131/0107/45030020255</v>
      </c>
      <c r="AB1008" s="125" t="s">
        <v>138</v>
      </c>
      <c r="AC1008" s="255" t="s">
        <v>204</v>
      </c>
    </row>
    <row r="1009" spans="2:29" ht="56" x14ac:dyDescent="0.35">
      <c r="B1009" s="132">
        <v>20251108</v>
      </c>
      <c r="C1009" s="50" t="s">
        <v>209</v>
      </c>
      <c r="D1009" s="246" t="s">
        <v>165</v>
      </c>
      <c r="E1009" s="51" t="s">
        <v>484</v>
      </c>
      <c r="F1009" s="246" t="s">
        <v>1258</v>
      </c>
      <c r="G1009" s="246" t="s">
        <v>156</v>
      </c>
      <c r="H1009" s="93">
        <v>80111600</v>
      </c>
      <c r="I1009" s="247">
        <v>11</v>
      </c>
      <c r="J1009" s="247">
        <v>1</v>
      </c>
      <c r="K1009" s="52">
        <v>0</v>
      </c>
      <c r="L1009" s="53">
        <v>3990000</v>
      </c>
      <c r="M1009" s="136" t="s">
        <v>464</v>
      </c>
      <c r="N1009" s="53" t="s">
        <v>113</v>
      </c>
      <c r="O1009" s="51" t="s">
        <v>229</v>
      </c>
      <c r="P1009" s="248" t="str">
        <f>IFERROR(VLOOKUP(C1009,TD!$B$33:$F$37,2,0)," ")</f>
        <v>O230117</v>
      </c>
      <c r="Q1009" s="248" t="str">
        <f>IFERROR(VLOOKUP(C1009,TD!$B$33:$F$37,3,0)," ")</f>
        <v>4503</v>
      </c>
      <c r="R1009" s="248">
        <f>IFERROR(VLOOKUP(C1009,TD!$B$33:$F$37,4,0)," ")</f>
        <v>20240255</v>
      </c>
      <c r="S1009" s="51" t="s">
        <v>183</v>
      </c>
      <c r="T1009" s="248" t="str">
        <f>IFERROR(VLOOKUP(S1009,TD!$J$34:$K$44,2,0)," ")</f>
        <v>Servicio de formación en gestión del riesgo de incendios para el personal UAECOB</v>
      </c>
      <c r="U1009" s="249" t="str">
        <f>CONCATENATE(S1009,"-",T1009)</f>
        <v>07-Servicio de formación en gestión del riesgo de incendios para el personal UAECOB</v>
      </c>
      <c r="V1009" s="51" t="s">
        <v>233</v>
      </c>
      <c r="W1009" s="248" t="str">
        <f>IFERROR(VLOOKUP(V1009,TD!$N$34:$O$46,2,0)," ")</f>
        <v>Servicio de educación informal</v>
      </c>
      <c r="X1009" s="249" t="str">
        <f>CONCATENATE(V1009,"_",W1009)</f>
        <v>002_Servicio de educación informal</v>
      </c>
      <c r="Y1009" s="249" t="str">
        <f>CONCATENATE(U1009," ",X1009)</f>
        <v>07-Servicio de formación en gestión del riesgo de incendios para el personal UAECOB 002_Servicio de educación informal</v>
      </c>
      <c r="Z1009" s="248" t="str">
        <f>CONCATENATE(P1009,Q1009,R1009,S1009,V1009)</f>
        <v>O23011745032024025507002</v>
      </c>
      <c r="AA1009" s="248" t="str">
        <f>IFERROR(VLOOKUP(Y1009,TD!$K$47:$L$65,2,0)," ")</f>
        <v>PM/0131/0107/45030020255</v>
      </c>
      <c r="AB1009" s="53" t="s">
        <v>138</v>
      </c>
      <c r="AC1009" s="250" t="s">
        <v>204</v>
      </c>
    </row>
    <row r="1010" spans="2:29" ht="56" x14ac:dyDescent="0.35">
      <c r="B1010" s="132">
        <v>20251109</v>
      </c>
      <c r="C1010" s="50" t="s">
        <v>209</v>
      </c>
      <c r="D1010" s="246" t="s">
        <v>165</v>
      </c>
      <c r="E1010" s="51" t="s">
        <v>484</v>
      </c>
      <c r="F1010" s="246" t="s">
        <v>1259</v>
      </c>
      <c r="G1010" s="246" t="s">
        <v>155</v>
      </c>
      <c r="H1010" s="93">
        <v>80111600</v>
      </c>
      <c r="I1010" s="247">
        <v>11</v>
      </c>
      <c r="J1010" s="247">
        <v>2</v>
      </c>
      <c r="K1010" s="52">
        <v>0</v>
      </c>
      <c r="L1010" s="53">
        <v>11400000</v>
      </c>
      <c r="M1010" s="136" t="s">
        <v>464</v>
      </c>
      <c r="N1010" s="53" t="s">
        <v>113</v>
      </c>
      <c r="O1010" s="51" t="s">
        <v>229</v>
      </c>
      <c r="P1010" s="248" t="str">
        <f>IFERROR(VLOOKUP(C1010,TD!$B$33:$F$37,2,0)," ")</f>
        <v>O230117</v>
      </c>
      <c r="Q1010" s="248" t="str">
        <f>IFERROR(VLOOKUP(C1010,TD!$B$33:$F$37,3,0)," ")</f>
        <v>4503</v>
      </c>
      <c r="R1010" s="248">
        <f>IFERROR(VLOOKUP(C1010,TD!$B$33:$F$37,4,0)," ")</f>
        <v>20240255</v>
      </c>
      <c r="S1010" s="51" t="s">
        <v>183</v>
      </c>
      <c r="T1010" s="248" t="str">
        <f>IFERROR(VLOOKUP(S1010,TD!$J$34:$K$44,2,0)," ")</f>
        <v>Servicio de formación en gestión del riesgo de incendios para el personal UAECOB</v>
      </c>
      <c r="U1010" s="249" t="str">
        <f>CONCATENATE(S1010,"-",T1010)</f>
        <v>07-Servicio de formación en gestión del riesgo de incendios para el personal UAECOB</v>
      </c>
      <c r="V1010" s="51" t="s">
        <v>233</v>
      </c>
      <c r="W1010" s="248" t="str">
        <f>IFERROR(VLOOKUP(V1010,TD!$N$34:$O$46,2,0)," ")</f>
        <v>Servicio de educación informal</v>
      </c>
      <c r="X1010" s="249" t="str">
        <f>CONCATENATE(V1010,"_",W1010)</f>
        <v>002_Servicio de educación informal</v>
      </c>
      <c r="Y1010" s="249" t="str">
        <f>CONCATENATE(U1010," ",X1010)</f>
        <v>07-Servicio de formación en gestión del riesgo de incendios para el personal UAECOB 002_Servicio de educación informal</v>
      </c>
      <c r="Z1010" s="248" t="str">
        <f>CONCATENATE(P1010,Q1010,R1010,S1010,V1010)</f>
        <v>O23011745032024025507002</v>
      </c>
      <c r="AA1010" s="248" t="str">
        <f>IFERROR(VLOOKUP(Y1010,TD!$K$47:$L$65,2,0)," ")</f>
        <v>PM/0131/0107/45030020255</v>
      </c>
      <c r="AB1010" s="53" t="s">
        <v>138</v>
      </c>
      <c r="AC1010" s="250" t="s">
        <v>204</v>
      </c>
    </row>
    <row r="1011" spans="2:29" ht="84" x14ac:dyDescent="0.35">
      <c r="B1011" s="166">
        <v>20251110</v>
      </c>
      <c r="C1011" s="50" t="s">
        <v>209</v>
      </c>
      <c r="D1011" s="246" t="s">
        <v>165</v>
      </c>
      <c r="E1011" s="51" t="s">
        <v>484</v>
      </c>
      <c r="F1011" s="246" t="s">
        <v>1260</v>
      </c>
      <c r="G1011" s="246" t="s">
        <v>155</v>
      </c>
      <c r="H1011" s="93">
        <v>80111600</v>
      </c>
      <c r="I1011" s="247">
        <v>10</v>
      </c>
      <c r="J1011" s="247">
        <v>2</v>
      </c>
      <c r="K1011" s="52">
        <v>0</v>
      </c>
      <c r="L1011" s="53">
        <v>9450000</v>
      </c>
      <c r="M1011" s="136" t="s">
        <v>464</v>
      </c>
      <c r="N1011" s="53" t="s">
        <v>113</v>
      </c>
      <c r="O1011" s="51" t="s">
        <v>229</v>
      </c>
      <c r="P1011" s="248" t="str">
        <f>IFERROR(VLOOKUP(C1011,TD!$B$33:$F$37,2,0)," ")</f>
        <v>O230117</v>
      </c>
      <c r="Q1011" s="248" t="str">
        <f>IFERROR(VLOOKUP(C1011,TD!$B$33:$F$37,3,0)," ")</f>
        <v>4503</v>
      </c>
      <c r="R1011" s="248">
        <f>IFERROR(VLOOKUP(C1011,TD!$B$33:$F$37,4,0)," ")</f>
        <v>20240255</v>
      </c>
      <c r="S1011" s="51" t="s">
        <v>183</v>
      </c>
      <c r="T1011" s="248" t="str">
        <f>IFERROR(VLOOKUP(S1011,TD!$J$34:$K$44,2,0)," ")</f>
        <v>Servicio de formación en gestión del riesgo de incendios para el personal UAECOB</v>
      </c>
      <c r="U1011" s="249" t="str">
        <f>CONCATENATE(S1011,"-",T1011)</f>
        <v>07-Servicio de formación en gestión del riesgo de incendios para el personal UAECOB</v>
      </c>
      <c r="V1011" s="51" t="s">
        <v>233</v>
      </c>
      <c r="W1011" s="248" t="str">
        <f>IFERROR(VLOOKUP(V1011,TD!$N$34:$O$46,2,0)," ")</f>
        <v>Servicio de educación informal</v>
      </c>
      <c r="X1011" s="249" t="str">
        <f>CONCATENATE(V1011,"_",W1011)</f>
        <v>002_Servicio de educación informal</v>
      </c>
      <c r="Y1011" s="249" t="str">
        <f>CONCATENATE(U1011," ",X1011)</f>
        <v>07-Servicio de formación en gestión del riesgo de incendios para el personal UAECOB 002_Servicio de educación informal</v>
      </c>
      <c r="Z1011" s="248" t="str">
        <f>CONCATENATE(P1011,Q1011,R1011,S1011,V1011)</f>
        <v>O23011745032024025507002</v>
      </c>
      <c r="AA1011" s="248" t="str">
        <f>IFERROR(VLOOKUP(Y1011,TD!$K$47:$L$65,2,0)," ")</f>
        <v>PM/0131/0107/45030020255</v>
      </c>
      <c r="AB1011" s="53" t="s">
        <v>138</v>
      </c>
      <c r="AC1011" s="250" t="s">
        <v>204</v>
      </c>
    </row>
    <row r="1012" spans="2:29" ht="111" customHeight="1" x14ac:dyDescent="0.35">
      <c r="B1012" s="132">
        <v>20251111</v>
      </c>
      <c r="C1012" s="50" t="s">
        <v>209</v>
      </c>
      <c r="D1012" s="246" t="s">
        <v>165</v>
      </c>
      <c r="E1012" s="51" t="s">
        <v>484</v>
      </c>
      <c r="F1012" s="246" t="s">
        <v>1261</v>
      </c>
      <c r="G1012" s="246" t="s">
        <v>155</v>
      </c>
      <c r="H1012" s="93">
        <v>80111600</v>
      </c>
      <c r="I1012" s="247">
        <v>11</v>
      </c>
      <c r="J1012" s="247">
        <v>2</v>
      </c>
      <c r="K1012" s="52">
        <v>0</v>
      </c>
      <c r="L1012" s="53">
        <v>13600000</v>
      </c>
      <c r="M1012" s="136" t="s">
        <v>464</v>
      </c>
      <c r="N1012" s="53" t="s">
        <v>113</v>
      </c>
      <c r="O1012" s="51" t="s">
        <v>229</v>
      </c>
      <c r="P1012" s="248" t="str">
        <f>IFERROR(VLOOKUP(C1012,TD!$B$33:$F$37,2,0)," ")</f>
        <v>O230117</v>
      </c>
      <c r="Q1012" s="248" t="str">
        <f>IFERROR(VLOOKUP(C1012,TD!$B$33:$F$37,3,0)," ")</f>
        <v>4503</v>
      </c>
      <c r="R1012" s="248">
        <f>IFERROR(VLOOKUP(C1012,TD!$B$33:$F$37,4,0)," ")</f>
        <v>20240255</v>
      </c>
      <c r="S1012" s="51" t="s">
        <v>183</v>
      </c>
      <c r="T1012" s="248" t="str">
        <f>IFERROR(VLOOKUP(S1012,TD!$J$34:$K$44,2,0)," ")</f>
        <v>Servicio de formación en gestión del riesgo de incendios para el personal UAECOB</v>
      </c>
      <c r="U1012" s="249" t="str">
        <f>CONCATENATE(S1012,"-",T1012)</f>
        <v>07-Servicio de formación en gestión del riesgo de incendios para el personal UAECOB</v>
      </c>
      <c r="V1012" s="51" t="s">
        <v>233</v>
      </c>
      <c r="W1012" s="248" t="str">
        <f>IFERROR(VLOOKUP(V1012,TD!$N$34:$O$46,2,0)," ")</f>
        <v>Servicio de educación informal</v>
      </c>
      <c r="X1012" s="249" t="str">
        <f>CONCATENATE(V1012,"_",W1012)</f>
        <v>002_Servicio de educación informal</v>
      </c>
      <c r="Y1012" s="249" t="str">
        <f>CONCATENATE(U1012," ",X1012)</f>
        <v>07-Servicio de formación en gestión del riesgo de incendios para el personal UAECOB 002_Servicio de educación informal</v>
      </c>
      <c r="Z1012" s="248" t="str">
        <f>CONCATENATE(P1012,Q1012,R1012,S1012,V1012)</f>
        <v>O23011745032024025507002</v>
      </c>
      <c r="AA1012" s="248" t="str">
        <f>IFERROR(VLOOKUP(Y1012,TD!$K$47:$L$65,2,0)," ")</f>
        <v>PM/0131/0107/45030020255</v>
      </c>
      <c r="AB1012" s="53" t="s">
        <v>138</v>
      </c>
      <c r="AC1012" s="250" t="s">
        <v>204</v>
      </c>
    </row>
    <row r="1013" spans="2:29" ht="84" x14ac:dyDescent="0.35">
      <c r="B1013" s="132">
        <v>20251112</v>
      </c>
      <c r="C1013" s="50" t="s">
        <v>209</v>
      </c>
      <c r="D1013" s="246" t="s">
        <v>165</v>
      </c>
      <c r="E1013" s="51" t="s">
        <v>484</v>
      </c>
      <c r="F1013" s="246" t="s">
        <v>1262</v>
      </c>
      <c r="G1013" s="246" t="s">
        <v>156</v>
      </c>
      <c r="H1013" s="93">
        <v>80111600</v>
      </c>
      <c r="I1013" s="247">
        <v>11</v>
      </c>
      <c r="J1013" s="247">
        <v>2</v>
      </c>
      <c r="K1013" s="52">
        <v>0</v>
      </c>
      <c r="L1013" s="53">
        <v>6000000</v>
      </c>
      <c r="M1013" s="136" t="s">
        <v>464</v>
      </c>
      <c r="N1013" s="53" t="s">
        <v>113</v>
      </c>
      <c r="O1013" s="51" t="s">
        <v>229</v>
      </c>
      <c r="P1013" s="248" t="str">
        <f>IFERROR(VLOOKUP(C1013,TD!$B$33:$F$37,2,0)," ")</f>
        <v>O230117</v>
      </c>
      <c r="Q1013" s="248" t="str">
        <f>IFERROR(VLOOKUP(C1013,TD!$B$33:$F$37,3,0)," ")</f>
        <v>4503</v>
      </c>
      <c r="R1013" s="248">
        <f>IFERROR(VLOOKUP(C1013,TD!$B$33:$F$37,4,0)," ")</f>
        <v>20240255</v>
      </c>
      <c r="S1013" s="51" t="s">
        <v>183</v>
      </c>
      <c r="T1013" s="248" t="str">
        <f>IFERROR(VLOOKUP(S1013,TD!$J$34:$K$44,2,0)," ")</f>
        <v>Servicio de formación en gestión del riesgo de incendios para el personal UAECOB</v>
      </c>
      <c r="U1013" s="249" t="str">
        <f>CONCATENATE(S1013,"-",T1013)</f>
        <v>07-Servicio de formación en gestión del riesgo de incendios para el personal UAECOB</v>
      </c>
      <c r="V1013" s="51" t="s">
        <v>233</v>
      </c>
      <c r="W1013" s="248" t="str">
        <f>IFERROR(VLOOKUP(V1013,TD!$N$34:$O$46,2,0)," ")</f>
        <v>Servicio de educación informal</v>
      </c>
      <c r="X1013" s="249" t="str">
        <f>CONCATENATE(V1013,"_",W1013)</f>
        <v>002_Servicio de educación informal</v>
      </c>
      <c r="Y1013" s="249" t="str">
        <f>CONCATENATE(U1013," ",X1013)</f>
        <v>07-Servicio de formación en gestión del riesgo de incendios para el personal UAECOB 002_Servicio de educación informal</v>
      </c>
      <c r="Z1013" s="248" t="str">
        <f>CONCATENATE(P1013,Q1013,R1013,S1013,V1013)</f>
        <v>O23011745032024025507002</v>
      </c>
      <c r="AA1013" s="248" t="str">
        <f>IFERROR(VLOOKUP(Y1013,TD!$K$47:$L$65,2,0)," ")</f>
        <v>PM/0131/0107/45030020255</v>
      </c>
      <c r="AB1013" s="53" t="s">
        <v>138</v>
      </c>
      <c r="AC1013" s="250" t="s">
        <v>204</v>
      </c>
    </row>
    <row r="1014" spans="2:29" ht="70" x14ac:dyDescent="0.35">
      <c r="B1014" s="166">
        <v>20251113</v>
      </c>
      <c r="C1014" s="50" t="s">
        <v>209</v>
      </c>
      <c r="D1014" s="246" t="s">
        <v>165</v>
      </c>
      <c r="E1014" s="51" t="s">
        <v>484</v>
      </c>
      <c r="F1014" s="246" t="s">
        <v>1263</v>
      </c>
      <c r="G1014" s="246" t="s">
        <v>155</v>
      </c>
      <c r="H1014" s="93">
        <v>80111600</v>
      </c>
      <c r="I1014" s="247">
        <v>11</v>
      </c>
      <c r="J1014" s="247">
        <v>2</v>
      </c>
      <c r="K1014" s="52">
        <v>0</v>
      </c>
      <c r="L1014" s="53">
        <v>9000000</v>
      </c>
      <c r="M1014" s="136" t="s">
        <v>464</v>
      </c>
      <c r="N1014" s="53" t="s">
        <v>113</v>
      </c>
      <c r="O1014" s="51" t="s">
        <v>229</v>
      </c>
      <c r="P1014" s="248" t="str">
        <f>IFERROR(VLOOKUP(C1014,TD!$B$33:$F$37,2,0)," ")</f>
        <v>O230117</v>
      </c>
      <c r="Q1014" s="248" t="str">
        <f>IFERROR(VLOOKUP(C1014,TD!$B$33:$F$37,3,0)," ")</f>
        <v>4503</v>
      </c>
      <c r="R1014" s="248">
        <f>IFERROR(VLOOKUP(C1014,TD!$B$33:$F$37,4,0)," ")</f>
        <v>20240255</v>
      </c>
      <c r="S1014" s="51" t="s">
        <v>183</v>
      </c>
      <c r="T1014" s="248" t="str">
        <f>IFERROR(VLOOKUP(S1014,TD!$J$34:$K$44,2,0)," ")</f>
        <v>Servicio de formación en gestión del riesgo de incendios para el personal UAECOB</v>
      </c>
      <c r="U1014" s="249" t="str">
        <f>CONCATENATE(S1014,"-",T1014)</f>
        <v>07-Servicio de formación en gestión del riesgo de incendios para el personal UAECOB</v>
      </c>
      <c r="V1014" s="51" t="s">
        <v>233</v>
      </c>
      <c r="W1014" s="248" t="str">
        <f>IFERROR(VLOOKUP(V1014,TD!$N$34:$O$46,2,0)," ")</f>
        <v>Servicio de educación informal</v>
      </c>
      <c r="X1014" s="249" t="str">
        <f>CONCATENATE(V1014,"_",W1014)</f>
        <v>002_Servicio de educación informal</v>
      </c>
      <c r="Y1014" s="249" t="str">
        <f>CONCATENATE(U1014," ",X1014)</f>
        <v>07-Servicio de formación en gestión del riesgo de incendios para el personal UAECOB 002_Servicio de educación informal</v>
      </c>
      <c r="Z1014" s="248" t="str">
        <f>CONCATENATE(P1014,Q1014,R1014,S1014,V1014)</f>
        <v>O23011745032024025507002</v>
      </c>
      <c r="AA1014" s="248" t="str">
        <f>IFERROR(VLOOKUP(Y1014,TD!$K$47:$L$65,2,0)," ")</f>
        <v>PM/0131/0107/45030020255</v>
      </c>
      <c r="AB1014" s="53" t="s">
        <v>138</v>
      </c>
      <c r="AC1014" s="250" t="s">
        <v>204</v>
      </c>
    </row>
    <row r="1015" spans="2:29" ht="70" x14ac:dyDescent="0.35">
      <c r="B1015" s="132">
        <v>20251114</v>
      </c>
      <c r="C1015" s="50" t="s">
        <v>209</v>
      </c>
      <c r="D1015" s="246" t="s">
        <v>165</v>
      </c>
      <c r="E1015" s="51" t="s">
        <v>484</v>
      </c>
      <c r="F1015" s="246" t="s">
        <v>1264</v>
      </c>
      <c r="G1015" s="246" t="s">
        <v>155</v>
      </c>
      <c r="H1015" s="93">
        <v>80111600</v>
      </c>
      <c r="I1015" s="247">
        <v>11</v>
      </c>
      <c r="J1015" s="247">
        <v>1.5</v>
      </c>
      <c r="K1015" s="52">
        <v>0</v>
      </c>
      <c r="L1015" s="53">
        <v>9180000</v>
      </c>
      <c r="M1015" s="136" t="s">
        <v>464</v>
      </c>
      <c r="N1015" s="53" t="s">
        <v>113</v>
      </c>
      <c r="O1015" s="51" t="s">
        <v>229</v>
      </c>
      <c r="P1015" s="248" t="str">
        <f>IFERROR(VLOOKUP(C1015,TD!$B$33:$F$37,2,0)," ")</f>
        <v>O230117</v>
      </c>
      <c r="Q1015" s="248" t="str">
        <f>IFERROR(VLOOKUP(C1015,TD!$B$33:$F$37,3,0)," ")</f>
        <v>4503</v>
      </c>
      <c r="R1015" s="248">
        <f>IFERROR(VLOOKUP(C1015,TD!$B$33:$F$37,4,0)," ")</f>
        <v>20240255</v>
      </c>
      <c r="S1015" s="51" t="s">
        <v>183</v>
      </c>
      <c r="T1015" s="248" t="str">
        <f>IFERROR(VLOOKUP(S1015,TD!$J$34:$K$44,2,0)," ")</f>
        <v>Servicio de formación en gestión del riesgo de incendios para el personal UAECOB</v>
      </c>
      <c r="U1015" s="249" t="str">
        <f>CONCATENATE(S1015,"-",T1015)</f>
        <v>07-Servicio de formación en gestión del riesgo de incendios para el personal UAECOB</v>
      </c>
      <c r="V1015" s="51" t="s">
        <v>233</v>
      </c>
      <c r="W1015" s="248" t="str">
        <f>IFERROR(VLOOKUP(V1015,TD!$N$34:$O$46,2,0)," ")</f>
        <v>Servicio de educación informal</v>
      </c>
      <c r="X1015" s="249" t="str">
        <f>CONCATENATE(V1015,"_",W1015)</f>
        <v>002_Servicio de educación informal</v>
      </c>
      <c r="Y1015" s="249" t="str">
        <f>CONCATENATE(U1015," ",X1015)</f>
        <v>07-Servicio de formación en gestión del riesgo de incendios para el personal UAECOB 002_Servicio de educación informal</v>
      </c>
      <c r="Z1015" s="248" t="str">
        <f>CONCATENATE(P1015,Q1015,R1015,S1015,V1015)</f>
        <v>O23011745032024025507002</v>
      </c>
      <c r="AA1015" s="248" t="str">
        <f>IFERROR(VLOOKUP(Y1015,TD!$K$47:$L$65,2,0)," ")</f>
        <v>PM/0131/0107/45030020255</v>
      </c>
      <c r="AB1015" s="53" t="s">
        <v>138</v>
      </c>
      <c r="AC1015" s="250" t="s">
        <v>204</v>
      </c>
    </row>
    <row r="1016" spans="2:29" ht="70" x14ac:dyDescent="0.35">
      <c r="B1016" s="132">
        <v>20251115</v>
      </c>
      <c r="C1016" s="50" t="s">
        <v>209</v>
      </c>
      <c r="D1016" s="246" t="s">
        <v>165</v>
      </c>
      <c r="E1016" s="51" t="s">
        <v>484</v>
      </c>
      <c r="F1016" s="246" t="s">
        <v>1265</v>
      </c>
      <c r="G1016" s="246" t="s">
        <v>155</v>
      </c>
      <c r="H1016" s="93">
        <v>80111600</v>
      </c>
      <c r="I1016" s="247">
        <v>10</v>
      </c>
      <c r="J1016" s="247">
        <v>2.4666666666666668</v>
      </c>
      <c r="K1016" s="52">
        <v>0</v>
      </c>
      <c r="L1016" s="53">
        <v>20473333</v>
      </c>
      <c r="M1016" s="136" t="s">
        <v>464</v>
      </c>
      <c r="N1016" s="53" t="s">
        <v>113</v>
      </c>
      <c r="O1016" s="51" t="s">
        <v>229</v>
      </c>
      <c r="P1016" s="248" t="str">
        <f>IFERROR(VLOOKUP(C1016,TD!$B$33:$F$37,2,0)," ")</f>
        <v>O230117</v>
      </c>
      <c r="Q1016" s="248" t="str">
        <f>IFERROR(VLOOKUP(C1016,TD!$B$33:$F$37,3,0)," ")</f>
        <v>4503</v>
      </c>
      <c r="R1016" s="248">
        <f>IFERROR(VLOOKUP(C1016,TD!$B$33:$F$37,4,0)," ")</f>
        <v>20240255</v>
      </c>
      <c r="S1016" s="51" t="s">
        <v>183</v>
      </c>
      <c r="T1016" s="248" t="str">
        <f>IFERROR(VLOOKUP(S1016,TD!$J$34:$K$44,2,0)," ")</f>
        <v>Servicio de formación en gestión del riesgo de incendios para el personal UAECOB</v>
      </c>
      <c r="U1016" s="249" t="str">
        <f>CONCATENATE(S1016,"-",T1016)</f>
        <v>07-Servicio de formación en gestión del riesgo de incendios para el personal UAECOB</v>
      </c>
      <c r="V1016" s="51" t="s">
        <v>233</v>
      </c>
      <c r="W1016" s="248" t="str">
        <f>IFERROR(VLOOKUP(V1016,TD!$N$34:$O$46,2,0)," ")</f>
        <v>Servicio de educación informal</v>
      </c>
      <c r="X1016" s="249" t="str">
        <f>CONCATENATE(V1016,"_",W1016)</f>
        <v>002_Servicio de educación informal</v>
      </c>
      <c r="Y1016" s="249" t="str">
        <f>CONCATENATE(U1016," ",X1016)</f>
        <v>07-Servicio de formación en gestión del riesgo de incendios para el personal UAECOB 002_Servicio de educación informal</v>
      </c>
      <c r="Z1016" s="248" t="str">
        <f>CONCATENATE(P1016,Q1016,R1016,S1016,V1016)</f>
        <v>O23011745032024025507002</v>
      </c>
      <c r="AA1016" s="248" t="str">
        <f>IFERROR(VLOOKUP(Y1016,TD!$K$47:$L$65,2,0)," ")</f>
        <v>PM/0131/0107/45030020255</v>
      </c>
      <c r="AB1016" s="53" t="s">
        <v>138</v>
      </c>
      <c r="AC1016" s="250" t="s">
        <v>204</v>
      </c>
    </row>
    <row r="1017" spans="2:29" ht="56" x14ac:dyDescent="0.35">
      <c r="B1017" s="166">
        <v>20251116</v>
      </c>
      <c r="C1017" s="50" t="s">
        <v>209</v>
      </c>
      <c r="D1017" s="246" t="s">
        <v>165</v>
      </c>
      <c r="E1017" s="51" t="s">
        <v>484</v>
      </c>
      <c r="F1017" s="246" t="s">
        <v>1266</v>
      </c>
      <c r="G1017" s="246" t="s">
        <v>155</v>
      </c>
      <c r="H1017" s="93">
        <v>80111600</v>
      </c>
      <c r="I1017" s="247">
        <v>10</v>
      </c>
      <c r="J1017" s="247">
        <v>3.5</v>
      </c>
      <c r="K1017" s="52">
        <v>0</v>
      </c>
      <c r="L1017" s="53">
        <v>13650000</v>
      </c>
      <c r="M1017" s="136" t="s">
        <v>464</v>
      </c>
      <c r="N1017" s="53" t="s">
        <v>113</v>
      </c>
      <c r="O1017" s="51" t="s">
        <v>229</v>
      </c>
      <c r="P1017" s="248" t="str">
        <f>IFERROR(VLOOKUP(C1017,TD!$B$33:$F$37,2,0)," ")</f>
        <v>O230117</v>
      </c>
      <c r="Q1017" s="248" t="str">
        <f>IFERROR(VLOOKUP(C1017,TD!$B$33:$F$37,3,0)," ")</f>
        <v>4503</v>
      </c>
      <c r="R1017" s="248">
        <f>IFERROR(VLOOKUP(C1017,TD!$B$33:$F$37,4,0)," ")</f>
        <v>20240255</v>
      </c>
      <c r="S1017" s="51" t="s">
        <v>183</v>
      </c>
      <c r="T1017" s="248" t="str">
        <f>IFERROR(VLOOKUP(S1017,TD!$J$34:$K$44,2,0)," ")</f>
        <v>Servicio de formación en gestión del riesgo de incendios para el personal UAECOB</v>
      </c>
      <c r="U1017" s="249" t="str">
        <f>CONCATENATE(S1017,"-",T1017)</f>
        <v>07-Servicio de formación en gestión del riesgo de incendios para el personal UAECOB</v>
      </c>
      <c r="V1017" s="51" t="s">
        <v>233</v>
      </c>
      <c r="W1017" s="248" t="str">
        <f>IFERROR(VLOOKUP(V1017,TD!$N$34:$O$46,2,0)," ")</f>
        <v>Servicio de educación informal</v>
      </c>
      <c r="X1017" s="249" t="str">
        <f>CONCATENATE(V1017,"_",W1017)</f>
        <v>002_Servicio de educación informal</v>
      </c>
      <c r="Y1017" s="249" t="str">
        <f>CONCATENATE(U1017," ",X1017)</f>
        <v>07-Servicio de formación en gestión del riesgo de incendios para el personal UAECOB 002_Servicio de educación informal</v>
      </c>
      <c r="Z1017" s="248" t="str">
        <f>CONCATENATE(P1017,Q1017,R1017,S1017,V1017)</f>
        <v>O23011745032024025507002</v>
      </c>
      <c r="AA1017" s="248" t="str">
        <f>IFERROR(VLOOKUP(Y1017,TD!$K$47:$L$65,2,0)," ")</f>
        <v>PM/0131/0107/45030020255</v>
      </c>
      <c r="AB1017" s="53" t="s">
        <v>120</v>
      </c>
      <c r="AC1017" s="250" t="s">
        <v>204</v>
      </c>
    </row>
    <row r="1018" spans="2:29" ht="84" x14ac:dyDescent="0.35">
      <c r="B1018" s="132">
        <v>20251117</v>
      </c>
      <c r="C1018" s="50" t="s">
        <v>209</v>
      </c>
      <c r="D1018" s="246" t="s">
        <v>165</v>
      </c>
      <c r="E1018" s="51" t="s">
        <v>484</v>
      </c>
      <c r="F1018" s="246" t="s">
        <v>1267</v>
      </c>
      <c r="G1018" s="246" t="s">
        <v>155</v>
      </c>
      <c r="H1018" s="93">
        <v>80111600</v>
      </c>
      <c r="I1018" s="247">
        <v>11</v>
      </c>
      <c r="J1018" s="247">
        <v>2</v>
      </c>
      <c r="K1018" s="52">
        <v>0</v>
      </c>
      <c r="L1018" s="53">
        <v>14000000</v>
      </c>
      <c r="M1018" s="136" t="s">
        <v>464</v>
      </c>
      <c r="N1018" s="53" t="s">
        <v>113</v>
      </c>
      <c r="O1018" s="51" t="s">
        <v>229</v>
      </c>
      <c r="P1018" s="248" t="str">
        <f>IFERROR(VLOOKUP(C1018,TD!$B$33:$F$37,2,0)," ")</f>
        <v>O230117</v>
      </c>
      <c r="Q1018" s="248" t="str">
        <f>IFERROR(VLOOKUP(C1018,TD!$B$33:$F$37,3,0)," ")</f>
        <v>4503</v>
      </c>
      <c r="R1018" s="248">
        <f>IFERROR(VLOOKUP(C1018,TD!$B$33:$F$37,4,0)," ")</f>
        <v>20240255</v>
      </c>
      <c r="S1018" s="51" t="s">
        <v>183</v>
      </c>
      <c r="T1018" s="248" t="str">
        <f>IFERROR(VLOOKUP(S1018,TD!$J$34:$K$44,2,0)," ")</f>
        <v>Servicio de formación en gestión del riesgo de incendios para el personal UAECOB</v>
      </c>
      <c r="U1018" s="249" t="str">
        <f>CONCATENATE(S1018,"-",T1018)</f>
        <v>07-Servicio de formación en gestión del riesgo de incendios para el personal UAECOB</v>
      </c>
      <c r="V1018" s="51" t="s">
        <v>233</v>
      </c>
      <c r="W1018" s="248" t="str">
        <f>IFERROR(VLOOKUP(V1018,TD!$N$34:$O$46,2,0)," ")</f>
        <v>Servicio de educación informal</v>
      </c>
      <c r="X1018" s="249" t="str">
        <f>CONCATENATE(V1018,"_",W1018)</f>
        <v>002_Servicio de educación informal</v>
      </c>
      <c r="Y1018" s="249" t="str">
        <f>CONCATENATE(U1018," ",X1018)</f>
        <v>07-Servicio de formación en gestión del riesgo de incendios para el personal UAECOB 002_Servicio de educación informal</v>
      </c>
      <c r="Z1018" s="248" t="str">
        <f>CONCATENATE(P1018,Q1018,R1018,S1018,V1018)</f>
        <v>O23011745032024025507002</v>
      </c>
      <c r="AA1018" s="248" t="str">
        <f>IFERROR(VLOOKUP(Y1018,TD!$K$47:$L$65,2,0)," ")</f>
        <v>PM/0131/0107/45030020255</v>
      </c>
      <c r="AB1018" s="53" t="s">
        <v>138</v>
      </c>
      <c r="AC1018" s="250" t="s">
        <v>204</v>
      </c>
    </row>
    <row r="1019" spans="2:29" ht="98" x14ac:dyDescent="0.35">
      <c r="B1019" s="132">
        <v>20251118</v>
      </c>
      <c r="C1019" s="50" t="s">
        <v>209</v>
      </c>
      <c r="D1019" s="246" t="s">
        <v>165</v>
      </c>
      <c r="E1019" s="51" t="s">
        <v>484</v>
      </c>
      <c r="F1019" s="246" t="s">
        <v>1268</v>
      </c>
      <c r="G1019" s="246" t="s">
        <v>155</v>
      </c>
      <c r="H1019" s="93">
        <v>80111600</v>
      </c>
      <c r="I1019" s="247">
        <v>12</v>
      </c>
      <c r="J1019" s="247">
        <v>1.5</v>
      </c>
      <c r="K1019" s="52">
        <v>0</v>
      </c>
      <c r="L1019" s="53">
        <v>10237500</v>
      </c>
      <c r="M1019" s="136" t="s">
        <v>464</v>
      </c>
      <c r="N1019" s="53" t="s">
        <v>113</v>
      </c>
      <c r="O1019" s="51" t="s">
        <v>229</v>
      </c>
      <c r="P1019" s="248" t="str">
        <f>IFERROR(VLOOKUP(C1019,TD!$B$33:$F$37,2,0)," ")</f>
        <v>O230117</v>
      </c>
      <c r="Q1019" s="248" t="str">
        <f>IFERROR(VLOOKUP(C1019,TD!$B$33:$F$37,3,0)," ")</f>
        <v>4503</v>
      </c>
      <c r="R1019" s="248">
        <f>IFERROR(VLOOKUP(C1019,TD!$B$33:$F$37,4,0)," ")</f>
        <v>20240255</v>
      </c>
      <c r="S1019" s="51" t="s">
        <v>183</v>
      </c>
      <c r="T1019" s="248" t="str">
        <f>IFERROR(VLOOKUP(S1019,TD!$J$34:$K$44,2,0)," ")</f>
        <v>Servicio de formación en gestión del riesgo de incendios para el personal UAECOB</v>
      </c>
      <c r="U1019" s="249" t="str">
        <f>CONCATENATE(S1019,"-",T1019)</f>
        <v>07-Servicio de formación en gestión del riesgo de incendios para el personal UAECOB</v>
      </c>
      <c r="V1019" s="51" t="s">
        <v>233</v>
      </c>
      <c r="W1019" s="248" t="str">
        <f>IFERROR(VLOOKUP(V1019,TD!$N$34:$O$46,2,0)," ")</f>
        <v>Servicio de educación informal</v>
      </c>
      <c r="X1019" s="249" t="str">
        <f>CONCATENATE(V1019,"_",W1019)</f>
        <v>002_Servicio de educación informal</v>
      </c>
      <c r="Y1019" s="249" t="str">
        <f>CONCATENATE(U1019," ",X1019)</f>
        <v>07-Servicio de formación en gestión del riesgo de incendios para el personal UAECOB 002_Servicio de educación informal</v>
      </c>
      <c r="Z1019" s="248" t="str">
        <f>CONCATENATE(P1019,Q1019,R1019,S1019,V1019)</f>
        <v>O23011745032024025507002</v>
      </c>
      <c r="AA1019" s="248" t="str">
        <f>IFERROR(VLOOKUP(Y1019,TD!$K$47:$L$65,2,0)," ")</f>
        <v>PM/0131/0107/45030020255</v>
      </c>
      <c r="AB1019" s="53" t="s">
        <v>138</v>
      </c>
      <c r="AC1019" s="250" t="s">
        <v>204</v>
      </c>
    </row>
    <row r="1020" spans="2:29" ht="84" x14ac:dyDescent="0.35">
      <c r="B1020" s="166">
        <v>20251119</v>
      </c>
      <c r="C1020" s="50" t="s">
        <v>209</v>
      </c>
      <c r="D1020" s="246" t="s">
        <v>165</v>
      </c>
      <c r="E1020" s="51" t="s">
        <v>484</v>
      </c>
      <c r="F1020" s="246" t="s">
        <v>1269</v>
      </c>
      <c r="G1020" s="246" t="s">
        <v>155</v>
      </c>
      <c r="H1020" s="93">
        <v>80111600</v>
      </c>
      <c r="I1020" s="247">
        <v>11</v>
      </c>
      <c r="J1020" s="247">
        <v>1</v>
      </c>
      <c r="K1020" s="52">
        <v>0</v>
      </c>
      <c r="L1020" s="53">
        <v>7475000</v>
      </c>
      <c r="M1020" s="136" t="s">
        <v>464</v>
      </c>
      <c r="N1020" s="53" t="s">
        <v>113</v>
      </c>
      <c r="O1020" s="51" t="s">
        <v>229</v>
      </c>
      <c r="P1020" s="248" t="str">
        <f>IFERROR(VLOOKUP(C1020,TD!$B$33:$F$37,2,0)," ")</f>
        <v>O230117</v>
      </c>
      <c r="Q1020" s="248" t="str">
        <f>IFERROR(VLOOKUP(C1020,TD!$B$33:$F$37,3,0)," ")</f>
        <v>4503</v>
      </c>
      <c r="R1020" s="248">
        <f>IFERROR(VLOOKUP(C1020,TD!$B$33:$F$37,4,0)," ")</f>
        <v>20240255</v>
      </c>
      <c r="S1020" s="51" t="s">
        <v>183</v>
      </c>
      <c r="T1020" s="248" t="str">
        <f>IFERROR(VLOOKUP(S1020,TD!$J$34:$K$44,2,0)," ")</f>
        <v>Servicio de formación en gestión del riesgo de incendios para el personal UAECOB</v>
      </c>
      <c r="U1020" s="249" t="str">
        <f>CONCATENATE(S1020,"-",T1020)</f>
        <v>07-Servicio de formación en gestión del riesgo de incendios para el personal UAECOB</v>
      </c>
      <c r="V1020" s="51" t="s">
        <v>233</v>
      </c>
      <c r="W1020" s="248" t="str">
        <f>IFERROR(VLOOKUP(V1020,TD!$N$34:$O$46,2,0)," ")</f>
        <v>Servicio de educación informal</v>
      </c>
      <c r="X1020" s="249" t="str">
        <f>CONCATENATE(V1020,"_",W1020)</f>
        <v>002_Servicio de educación informal</v>
      </c>
      <c r="Y1020" s="249" t="str">
        <f>CONCATENATE(U1020," ",X1020)</f>
        <v>07-Servicio de formación en gestión del riesgo de incendios para el personal UAECOB 002_Servicio de educación informal</v>
      </c>
      <c r="Z1020" s="248" t="str">
        <f>CONCATENATE(P1020,Q1020,R1020,S1020,V1020)</f>
        <v>O23011745032024025507002</v>
      </c>
      <c r="AA1020" s="248" t="str">
        <f>IFERROR(VLOOKUP(Y1020,TD!$K$47:$L$65,2,0)," ")</f>
        <v>PM/0131/0107/45030020255</v>
      </c>
      <c r="AB1020" s="53" t="s">
        <v>138</v>
      </c>
      <c r="AC1020" s="250" t="s">
        <v>204</v>
      </c>
    </row>
    <row r="1021" spans="2:29" ht="56" x14ac:dyDescent="0.35">
      <c r="B1021" s="132">
        <v>20251120</v>
      </c>
      <c r="C1021" s="50" t="s">
        <v>209</v>
      </c>
      <c r="D1021" s="246" t="s">
        <v>165</v>
      </c>
      <c r="E1021" s="51" t="s">
        <v>484</v>
      </c>
      <c r="F1021" s="246" t="s">
        <v>1270</v>
      </c>
      <c r="G1021" s="246" t="s">
        <v>155</v>
      </c>
      <c r="H1021" s="93">
        <v>80111600</v>
      </c>
      <c r="I1021" s="247">
        <v>11</v>
      </c>
      <c r="J1021" s="247">
        <v>1.5</v>
      </c>
      <c r="K1021" s="52">
        <v>0</v>
      </c>
      <c r="L1021" s="53">
        <v>8625000</v>
      </c>
      <c r="M1021" s="136" t="s">
        <v>464</v>
      </c>
      <c r="N1021" s="53" t="s">
        <v>113</v>
      </c>
      <c r="O1021" s="51" t="s">
        <v>229</v>
      </c>
      <c r="P1021" s="248" t="str">
        <f>IFERROR(VLOOKUP(C1021,TD!$B$33:$F$37,2,0)," ")</f>
        <v>O230117</v>
      </c>
      <c r="Q1021" s="248" t="str">
        <f>IFERROR(VLOOKUP(C1021,TD!$B$33:$F$37,3,0)," ")</f>
        <v>4503</v>
      </c>
      <c r="R1021" s="248">
        <f>IFERROR(VLOOKUP(C1021,TD!$B$33:$F$37,4,0)," ")</f>
        <v>20240255</v>
      </c>
      <c r="S1021" s="51" t="s">
        <v>183</v>
      </c>
      <c r="T1021" s="248" t="str">
        <f>IFERROR(VLOOKUP(S1021,TD!$J$34:$K$44,2,0)," ")</f>
        <v>Servicio de formación en gestión del riesgo de incendios para el personal UAECOB</v>
      </c>
      <c r="U1021" s="249" t="str">
        <f>CONCATENATE(S1021,"-",T1021)</f>
        <v>07-Servicio de formación en gestión del riesgo de incendios para el personal UAECOB</v>
      </c>
      <c r="V1021" s="51" t="s">
        <v>233</v>
      </c>
      <c r="W1021" s="248" t="str">
        <f>IFERROR(VLOOKUP(V1021,TD!$N$34:$O$46,2,0)," ")</f>
        <v>Servicio de educación informal</v>
      </c>
      <c r="X1021" s="249" t="str">
        <f>CONCATENATE(V1021,"_",W1021)</f>
        <v>002_Servicio de educación informal</v>
      </c>
      <c r="Y1021" s="249" t="str">
        <f>CONCATENATE(U1021," ",X1021)</f>
        <v>07-Servicio de formación en gestión del riesgo de incendios para el personal UAECOB 002_Servicio de educación informal</v>
      </c>
      <c r="Z1021" s="248" t="str">
        <f>CONCATENATE(P1021,Q1021,R1021,S1021,V1021)</f>
        <v>O23011745032024025507002</v>
      </c>
      <c r="AA1021" s="248" t="str">
        <f>IFERROR(VLOOKUP(Y1021,TD!$K$47:$L$65,2,0)," ")</f>
        <v>PM/0131/0107/45030020255</v>
      </c>
      <c r="AB1021" s="53" t="s">
        <v>138</v>
      </c>
      <c r="AC1021" s="250" t="s">
        <v>204</v>
      </c>
    </row>
    <row r="1022" spans="2:29" ht="112" x14ac:dyDescent="0.35">
      <c r="B1022" s="132">
        <v>20251121</v>
      </c>
      <c r="C1022" s="50" t="s">
        <v>209</v>
      </c>
      <c r="D1022" s="246" t="s">
        <v>165</v>
      </c>
      <c r="E1022" s="51" t="s">
        <v>484</v>
      </c>
      <c r="F1022" s="246" t="s">
        <v>1271</v>
      </c>
      <c r="G1022" s="246" t="s">
        <v>156</v>
      </c>
      <c r="H1022" s="93">
        <v>80111600</v>
      </c>
      <c r="I1022" s="247">
        <v>11</v>
      </c>
      <c r="J1022" s="247">
        <v>1.5</v>
      </c>
      <c r="K1022" s="52">
        <v>0</v>
      </c>
      <c r="L1022" s="53">
        <v>6020666</v>
      </c>
      <c r="M1022" s="136" t="s">
        <v>464</v>
      </c>
      <c r="N1022" s="53" t="s">
        <v>113</v>
      </c>
      <c r="O1022" s="51" t="s">
        <v>229</v>
      </c>
      <c r="P1022" s="248" t="str">
        <f>IFERROR(VLOOKUP(C1022,TD!$B$33:$F$37,2,0)," ")</f>
        <v>O230117</v>
      </c>
      <c r="Q1022" s="248" t="str">
        <f>IFERROR(VLOOKUP(C1022,TD!$B$33:$F$37,3,0)," ")</f>
        <v>4503</v>
      </c>
      <c r="R1022" s="248">
        <f>IFERROR(VLOOKUP(C1022,TD!$B$33:$F$37,4,0)," ")</f>
        <v>20240255</v>
      </c>
      <c r="S1022" s="51" t="s">
        <v>183</v>
      </c>
      <c r="T1022" s="248" t="str">
        <f>IFERROR(VLOOKUP(S1022,TD!$J$34:$K$44,2,0)," ")</f>
        <v>Servicio de formación en gestión del riesgo de incendios para el personal UAECOB</v>
      </c>
      <c r="U1022" s="249" t="str">
        <f>CONCATENATE(S1022,"-",T1022)</f>
        <v>07-Servicio de formación en gestión del riesgo de incendios para el personal UAECOB</v>
      </c>
      <c r="V1022" s="51" t="s">
        <v>233</v>
      </c>
      <c r="W1022" s="248" t="str">
        <f>IFERROR(VLOOKUP(V1022,TD!$N$34:$O$46,2,0)," ")</f>
        <v>Servicio de educación informal</v>
      </c>
      <c r="X1022" s="249" t="str">
        <f>CONCATENATE(V1022,"_",W1022)</f>
        <v>002_Servicio de educación informal</v>
      </c>
      <c r="Y1022" s="249" t="str">
        <f>CONCATENATE(U1022," ",X1022)</f>
        <v>07-Servicio de formación en gestión del riesgo de incendios para el personal UAECOB 002_Servicio de educación informal</v>
      </c>
      <c r="Z1022" s="248" t="str">
        <f>CONCATENATE(P1022,Q1022,R1022,S1022,V1022)</f>
        <v>O23011745032024025507002</v>
      </c>
      <c r="AA1022" s="248" t="str">
        <f>IFERROR(VLOOKUP(Y1022,TD!$K$47:$L$65,2,0)," ")</f>
        <v>PM/0131/0107/45030020255</v>
      </c>
      <c r="AB1022" s="53" t="s">
        <v>138</v>
      </c>
      <c r="AC1022" s="250" t="s">
        <v>204</v>
      </c>
    </row>
    <row r="1023" spans="2:29" ht="70" x14ac:dyDescent="0.35">
      <c r="B1023" s="166">
        <v>20251122</v>
      </c>
      <c r="C1023" s="50" t="s">
        <v>209</v>
      </c>
      <c r="D1023" s="246" t="s">
        <v>165</v>
      </c>
      <c r="E1023" s="51" t="s">
        <v>484</v>
      </c>
      <c r="F1023" s="246" t="s">
        <v>1272</v>
      </c>
      <c r="G1023" s="246" t="s">
        <v>155</v>
      </c>
      <c r="H1023" s="93">
        <v>80111600</v>
      </c>
      <c r="I1023" s="247">
        <v>12</v>
      </c>
      <c r="J1023" s="247">
        <v>1.5</v>
      </c>
      <c r="K1023" s="52">
        <v>0</v>
      </c>
      <c r="L1023" s="53">
        <v>10950000</v>
      </c>
      <c r="M1023" s="136" t="s">
        <v>464</v>
      </c>
      <c r="N1023" s="53" t="s">
        <v>113</v>
      </c>
      <c r="O1023" s="51" t="s">
        <v>229</v>
      </c>
      <c r="P1023" s="248" t="str">
        <f>IFERROR(VLOOKUP(C1023,TD!$B$33:$F$37,2,0)," ")</f>
        <v>O230117</v>
      </c>
      <c r="Q1023" s="248" t="str">
        <f>IFERROR(VLOOKUP(C1023,TD!$B$33:$F$37,3,0)," ")</f>
        <v>4503</v>
      </c>
      <c r="R1023" s="248">
        <f>IFERROR(VLOOKUP(C1023,TD!$B$33:$F$37,4,0)," ")</f>
        <v>20240255</v>
      </c>
      <c r="S1023" s="51" t="s">
        <v>183</v>
      </c>
      <c r="T1023" s="248" t="str">
        <f>IFERROR(VLOOKUP(S1023,TD!$J$34:$K$44,2,0)," ")</f>
        <v>Servicio de formación en gestión del riesgo de incendios para el personal UAECOB</v>
      </c>
      <c r="U1023" s="249" t="str">
        <f>CONCATENATE(S1023,"-",T1023)</f>
        <v>07-Servicio de formación en gestión del riesgo de incendios para el personal UAECOB</v>
      </c>
      <c r="V1023" s="51" t="s">
        <v>233</v>
      </c>
      <c r="W1023" s="248" t="str">
        <f>IFERROR(VLOOKUP(V1023,TD!$N$34:$O$46,2,0)," ")</f>
        <v>Servicio de educación informal</v>
      </c>
      <c r="X1023" s="249" t="str">
        <f>CONCATENATE(V1023,"_",W1023)</f>
        <v>002_Servicio de educación informal</v>
      </c>
      <c r="Y1023" s="249" t="str">
        <f>CONCATENATE(U1023," ",X1023)</f>
        <v>07-Servicio de formación en gestión del riesgo de incendios para el personal UAECOB 002_Servicio de educación informal</v>
      </c>
      <c r="Z1023" s="248" t="str">
        <f>CONCATENATE(P1023,Q1023,R1023,S1023,V1023)</f>
        <v>O23011745032024025507002</v>
      </c>
      <c r="AA1023" s="248" t="str">
        <f>IFERROR(VLOOKUP(Y1023,TD!$K$47:$L$65,2,0)," ")</f>
        <v>PM/0131/0107/45030020255</v>
      </c>
      <c r="AB1023" s="53" t="s">
        <v>138</v>
      </c>
      <c r="AC1023" s="250" t="s">
        <v>204</v>
      </c>
    </row>
    <row r="1024" spans="2:29" ht="56" x14ac:dyDescent="0.35">
      <c r="B1024" s="132">
        <v>20251123</v>
      </c>
      <c r="C1024" s="50" t="s">
        <v>209</v>
      </c>
      <c r="D1024" s="246" t="s">
        <v>165</v>
      </c>
      <c r="E1024" s="51" t="s">
        <v>484</v>
      </c>
      <c r="F1024" s="246" t="s">
        <v>1273</v>
      </c>
      <c r="G1024" s="246" t="s">
        <v>155</v>
      </c>
      <c r="H1024" s="93">
        <v>80111600</v>
      </c>
      <c r="I1024" s="247">
        <v>12</v>
      </c>
      <c r="J1024" s="247">
        <v>0.5</v>
      </c>
      <c r="K1024" s="52">
        <v>0</v>
      </c>
      <c r="L1024" s="53">
        <v>3166666</v>
      </c>
      <c r="M1024" s="136" t="s">
        <v>464</v>
      </c>
      <c r="N1024" s="53" t="s">
        <v>113</v>
      </c>
      <c r="O1024" s="51" t="s">
        <v>229</v>
      </c>
      <c r="P1024" s="248" t="str">
        <f>IFERROR(VLOOKUP(C1024,TD!$B$33:$F$37,2,0)," ")</f>
        <v>O230117</v>
      </c>
      <c r="Q1024" s="248" t="str">
        <f>IFERROR(VLOOKUP(C1024,TD!$B$33:$F$37,3,0)," ")</f>
        <v>4503</v>
      </c>
      <c r="R1024" s="248">
        <f>IFERROR(VLOOKUP(C1024,TD!$B$33:$F$37,4,0)," ")</f>
        <v>20240255</v>
      </c>
      <c r="S1024" s="51" t="s">
        <v>183</v>
      </c>
      <c r="T1024" s="248" t="str">
        <f>IFERROR(VLOOKUP(S1024,TD!$J$34:$K$44,2,0)," ")</f>
        <v>Servicio de formación en gestión del riesgo de incendios para el personal UAECOB</v>
      </c>
      <c r="U1024" s="249" t="str">
        <f>CONCATENATE(S1024,"-",T1024)</f>
        <v>07-Servicio de formación en gestión del riesgo de incendios para el personal UAECOB</v>
      </c>
      <c r="V1024" s="51" t="s">
        <v>233</v>
      </c>
      <c r="W1024" s="248" t="str">
        <f>IFERROR(VLOOKUP(V1024,TD!$N$34:$O$46,2,0)," ")</f>
        <v>Servicio de educación informal</v>
      </c>
      <c r="X1024" s="249" t="str">
        <f>CONCATENATE(V1024,"_",W1024)</f>
        <v>002_Servicio de educación informal</v>
      </c>
      <c r="Y1024" s="249" t="str">
        <f>CONCATENATE(U1024," ",X1024)</f>
        <v>07-Servicio de formación en gestión del riesgo de incendios para el personal UAECOB 002_Servicio de educación informal</v>
      </c>
      <c r="Z1024" s="248" t="str">
        <f>CONCATENATE(P1024,Q1024,R1024,S1024,V1024)</f>
        <v>O23011745032024025507002</v>
      </c>
      <c r="AA1024" s="248" t="str">
        <f>IFERROR(VLOOKUP(Y1024,TD!$K$47:$L$65,2,0)," ")</f>
        <v>PM/0131/0107/45030020255</v>
      </c>
      <c r="AB1024" s="53" t="s">
        <v>138</v>
      </c>
      <c r="AC1024" s="250" t="s">
        <v>204</v>
      </c>
    </row>
    <row r="1025" spans="2:29" ht="56" x14ac:dyDescent="0.35">
      <c r="B1025" s="137">
        <v>20251124</v>
      </c>
      <c r="C1025" s="129" t="s">
        <v>209</v>
      </c>
      <c r="D1025" s="251" t="s">
        <v>165</v>
      </c>
      <c r="E1025" s="252" t="s">
        <v>484</v>
      </c>
      <c r="F1025" s="251" t="s">
        <v>1274</v>
      </c>
      <c r="G1025" s="251" t="s">
        <v>155</v>
      </c>
      <c r="H1025" s="130">
        <v>80111600</v>
      </c>
      <c r="I1025" s="253">
        <v>11</v>
      </c>
      <c r="J1025" s="253">
        <v>1</v>
      </c>
      <c r="K1025" s="126">
        <v>0</v>
      </c>
      <c r="L1025" s="125">
        <v>5866666</v>
      </c>
      <c r="M1025" s="159" t="s">
        <v>464</v>
      </c>
      <c r="N1025" s="125" t="s">
        <v>113</v>
      </c>
      <c r="O1025" s="252" t="s">
        <v>229</v>
      </c>
      <c r="P1025" s="254" t="str">
        <f>IFERROR(VLOOKUP(C1025,TD!$B$33:$F$37,2,0)," ")</f>
        <v>O230117</v>
      </c>
      <c r="Q1025" s="254" t="str">
        <f>IFERROR(VLOOKUP(C1025,TD!$B$33:$F$37,3,0)," ")</f>
        <v>4503</v>
      </c>
      <c r="R1025" s="254">
        <f>IFERROR(VLOOKUP(C1025,TD!$B$33:$F$37,4,0)," ")</f>
        <v>20240255</v>
      </c>
      <c r="S1025" s="252" t="s">
        <v>183</v>
      </c>
      <c r="T1025" s="254" t="str">
        <f>IFERROR(VLOOKUP(S1025,TD!$J$34:$K$44,2,0)," ")</f>
        <v>Servicio de formación en gestión del riesgo de incendios para el personal UAECOB</v>
      </c>
      <c r="U1025" s="249" t="str">
        <f>CONCATENATE(S1025,"-",T1025)</f>
        <v>07-Servicio de formación en gestión del riesgo de incendios para el personal UAECOB</v>
      </c>
      <c r="V1025" s="252" t="s">
        <v>233</v>
      </c>
      <c r="W1025" s="254" t="str">
        <f>IFERROR(VLOOKUP(V1025,TD!$N$34:$O$46,2,0)," ")</f>
        <v>Servicio de educación informal</v>
      </c>
      <c r="X1025" s="249" t="str">
        <f>CONCATENATE(V1025,"_",W1025)</f>
        <v>002_Servicio de educación informal</v>
      </c>
      <c r="Y1025" s="249" t="str">
        <f>CONCATENATE(U1025," ",X1025)</f>
        <v>07-Servicio de formación en gestión del riesgo de incendios para el personal UAECOB 002_Servicio de educación informal</v>
      </c>
      <c r="Z1025" s="254" t="str">
        <f>CONCATENATE(P1025,Q1025,R1025,S1025,V1025)</f>
        <v>O23011745032024025507002</v>
      </c>
      <c r="AA1025" s="254" t="str">
        <f>IFERROR(VLOOKUP(Y1025,TD!$K$47:$L$65,2,0)," ")</f>
        <v>PM/0131/0107/45030020255</v>
      </c>
      <c r="AB1025" s="125" t="s">
        <v>138</v>
      </c>
      <c r="AC1025" s="255" t="s">
        <v>204</v>
      </c>
    </row>
    <row r="1026" spans="2:29" ht="84" x14ac:dyDescent="0.35">
      <c r="B1026" s="166">
        <v>20251125</v>
      </c>
      <c r="C1026" s="50" t="s">
        <v>209</v>
      </c>
      <c r="D1026" s="246" t="s">
        <v>165</v>
      </c>
      <c r="E1026" s="51" t="s">
        <v>484</v>
      </c>
      <c r="F1026" s="246" t="s">
        <v>1275</v>
      </c>
      <c r="G1026" s="246" t="s">
        <v>155</v>
      </c>
      <c r="H1026" s="93">
        <v>80111600</v>
      </c>
      <c r="I1026" s="247">
        <v>12</v>
      </c>
      <c r="J1026" s="247">
        <v>0.5</v>
      </c>
      <c r="K1026" s="52">
        <v>0</v>
      </c>
      <c r="L1026" s="53">
        <v>6133334</v>
      </c>
      <c r="M1026" s="136" t="s">
        <v>464</v>
      </c>
      <c r="N1026" s="53" t="s">
        <v>113</v>
      </c>
      <c r="O1026" s="51" t="s">
        <v>229</v>
      </c>
      <c r="P1026" s="248" t="str">
        <f>IFERROR(VLOOKUP(C1026,TD!$B$33:$F$37,2,0)," ")</f>
        <v>O230117</v>
      </c>
      <c r="Q1026" s="248" t="str">
        <f>IFERROR(VLOOKUP(C1026,TD!$B$33:$F$37,3,0)," ")</f>
        <v>4503</v>
      </c>
      <c r="R1026" s="248">
        <f>IFERROR(VLOOKUP(C1026,TD!$B$33:$F$37,4,0)," ")</f>
        <v>20240255</v>
      </c>
      <c r="S1026" s="51" t="s">
        <v>183</v>
      </c>
      <c r="T1026" s="248" t="str">
        <f>IFERROR(VLOOKUP(S1026,TD!$J$34:$K$44,2,0)," ")</f>
        <v>Servicio de formación en gestión del riesgo de incendios para el personal UAECOB</v>
      </c>
      <c r="U1026" s="249" t="str">
        <f>CONCATENATE(S1026,"-",T1026)</f>
        <v>07-Servicio de formación en gestión del riesgo de incendios para el personal UAECOB</v>
      </c>
      <c r="V1026" s="51" t="s">
        <v>233</v>
      </c>
      <c r="W1026" s="248" t="str">
        <f>IFERROR(VLOOKUP(V1026,TD!$N$34:$O$46,2,0)," ")</f>
        <v>Servicio de educación informal</v>
      </c>
      <c r="X1026" s="249" t="str">
        <f>CONCATENATE(V1026,"_",W1026)</f>
        <v>002_Servicio de educación informal</v>
      </c>
      <c r="Y1026" s="249" t="str">
        <f>CONCATENATE(U1026," ",X1026)</f>
        <v>07-Servicio de formación en gestión del riesgo de incendios para el personal UAECOB 002_Servicio de educación informal</v>
      </c>
      <c r="Z1026" s="248" t="str">
        <f>CONCATENATE(P1026,Q1026,R1026,S1026,V1026)</f>
        <v>O23011745032024025507002</v>
      </c>
      <c r="AA1026" s="248" t="str">
        <f>IFERROR(VLOOKUP(Y1026,TD!$K$47:$L$65,2,0)," ")</f>
        <v>PM/0131/0107/45030020255</v>
      </c>
      <c r="AB1026" s="53" t="s">
        <v>138</v>
      </c>
      <c r="AC1026" s="250" t="s">
        <v>204</v>
      </c>
    </row>
    <row r="1027" spans="2:29" ht="84" x14ac:dyDescent="0.35">
      <c r="B1027" s="137">
        <v>20251126</v>
      </c>
      <c r="C1027" s="129" t="s">
        <v>209</v>
      </c>
      <c r="D1027" s="251" t="s">
        <v>165</v>
      </c>
      <c r="E1027" s="252" t="s">
        <v>484</v>
      </c>
      <c r="F1027" s="251" t="s">
        <v>1276</v>
      </c>
      <c r="G1027" s="251" t="s">
        <v>155</v>
      </c>
      <c r="H1027" s="130">
        <v>80111600</v>
      </c>
      <c r="I1027" s="253">
        <v>11</v>
      </c>
      <c r="J1027" s="253">
        <v>1</v>
      </c>
      <c r="K1027" s="126">
        <v>0</v>
      </c>
      <c r="L1027" s="125">
        <v>9722133</v>
      </c>
      <c r="M1027" s="159" t="s">
        <v>464</v>
      </c>
      <c r="N1027" s="125" t="s">
        <v>113</v>
      </c>
      <c r="O1027" s="252" t="s">
        <v>229</v>
      </c>
      <c r="P1027" s="254" t="str">
        <f>IFERROR(VLOOKUP(C1027,TD!$B$33:$F$37,2,0)," ")</f>
        <v>O230117</v>
      </c>
      <c r="Q1027" s="254" t="str">
        <f>IFERROR(VLOOKUP(C1027,TD!$B$33:$F$37,3,0)," ")</f>
        <v>4503</v>
      </c>
      <c r="R1027" s="254">
        <f>IFERROR(VLOOKUP(C1027,TD!$B$33:$F$37,4,0)," ")</f>
        <v>20240255</v>
      </c>
      <c r="S1027" s="252" t="s">
        <v>183</v>
      </c>
      <c r="T1027" s="254" t="str">
        <f>IFERROR(VLOOKUP(S1027,TD!$J$34:$K$44,2,0)," ")</f>
        <v>Servicio de formación en gestión del riesgo de incendios para el personal UAECOB</v>
      </c>
      <c r="U1027" s="249" t="str">
        <f>CONCATENATE(S1027,"-",T1027)</f>
        <v>07-Servicio de formación en gestión del riesgo de incendios para el personal UAECOB</v>
      </c>
      <c r="V1027" s="252" t="s">
        <v>233</v>
      </c>
      <c r="W1027" s="254" t="str">
        <f>IFERROR(VLOOKUP(V1027,TD!$N$34:$O$46,2,0)," ")</f>
        <v>Servicio de educación informal</v>
      </c>
      <c r="X1027" s="249" t="str">
        <f>CONCATENATE(V1027,"_",W1027)</f>
        <v>002_Servicio de educación informal</v>
      </c>
      <c r="Y1027" s="249" t="str">
        <f>CONCATENATE(U1027," ",X1027)</f>
        <v>07-Servicio de formación en gestión del riesgo de incendios para el personal UAECOB 002_Servicio de educación informal</v>
      </c>
      <c r="Z1027" s="254" t="str">
        <f>CONCATENATE(P1027,Q1027,R1027,S1027,V1027)</f>
        <v>O23011745032024025507002</v>
      </c>
      <c r="AA1027" s="254" t="str">
        <f>IFERROR(VLOOKUP(Y1027,TD!$K$47:$L$65,2,0)," ")</f>
        <v>PM/0131/0107/45030020255</v>
      </c>
      <c r="AB1027" s="125" t="s">
        <v>138</v>
      </c>
      <c r="AC1027" s="255" t="s">
        <v>204</v>
      </c>
    </row>
    <row r="1028" spans="2:29" ht="84" x14ac:dyDescent="0.35">
      <c r="B1028" s="132">
        <v>20251127</v>
      </c>
      <c r="C1028" s="50" t="s">
        <v>209</v>
      </c>
      <c r="D1028" s="246" t="s">
        <v>165</v>
      </c>
      <c r="E1028" s="51" t="s">
        <v>484</v>
      </c>
      <c r="F1028" s="246" t="s">
        <v>1277</v>
      </c>
      <c r="G1028" s="246" t="s">
        <v>155</v>
      </c>
      <c r="H1028" s="93">
        <v>80111600</v>
      </c>
      <c r="I1028" s="247">
        <v>11</v>
      </c>
      <c r="J1028" s="247">
        <v>1.5</v>
      </c>
      <c r="K1028" s="52">
        <v>15</v>
      </c>
      <c r="L1028" s="53">
        <v>11460800</v>
      </c>
      <c r="M1028" s="136" t="s">
        <v>464</v>
      </c>
      <c r="N1028" s="53" t="s">
        <v>113</v>
      </c>
      <c r="O1028" s="51" t="s">
        <v>229</v>
      </c>
      <c r="P1028" s="248" t="str">
        <f>IFERROR(VLOOKUP(C1028,TD!$B$33:$F$37,2,0)," ")</f>
        <v>O230117</v>
      </c>
      <c r="Q1028" s="248" t="str">
        <f>IFERROR(VLOOKUP(C1028,TD!$B$33:$F$37,3,0)," ")</f>
        <v>4503</v>
      </c>
      <c r="R1028" s="248">
        <f>IFERROR(VLOOKUP(C1028,TD!$B$33:$F$37,4,0)," ")</f>
        <v>20240255</v>
      </c>
      <c r="S1028" s="51" t="s">
        <v>183</v>
      </c>
      <c r="T1028" s="248" t="str">
        <f>IFERROR(VLOOKUP(S1028,TD!$J$34:$K$44,2,0)," ")</f>
        <v>Servicio de formación en gestión del riesgo de incendios para el personal UAECOB</v>
      </c>
      <c r="U1028" s="249" t="str">
        <f>CONCATENATE(S1028,"-",T1028)</f>
        <v>07-Servicio de formación en gestión del riesgo de incendios para el personal UAECOB</v>
      </c>
      <c r="V1028" s="51" t="s">
        <v>233</v>
      </c>
      <c r="W1028" s="248" t="str">
        <f>IFERROR(VLOOKUP(V1028,TD!$N$34:$O$46,2,0)," ")</f>
        <v>Servicio de educación informal</v>
      </c>
      <c r="X1028" s="249" t="str">
        <f>CONCATENATE(V1028,"_",W1028)</f>
        <v>002_Servicio de educación informal</v>
      </c>
      <c r="Y1028" s="249" t="str">
        <f>CONCATENATE(U1028," ",X1028)</f>
        <v>07-Servicio de formación en gestión del riesgo de incendios para el personal UAECOB 002_Servicio de educación informal</v>
      </c>
      <c r="Z1028" s="248" t="str">
        <f>CONCATENATE(P1028,Q1028,R1028,S1028,V1028)</f>
        <v>O23011745032024025507002</v>
      </c>
      <c r="AA1028" s="248" t="str">
        <f>IFERROR(VLOOKUP(Y1028,TD!$K$47:$L$65,2,0)," ")</f>
        <v>PM/0131/0107/45030020255</v>
      </c>
      <c r="AB1028" s="53" t="s">
        <v>138</v>
      </c>
      <c r="AC1028" s="250" t="s">
        <v>204</v>
      </c>
    </row>
    <row r="1029" spans="2:29" ht="98" x14ac:dyDescent="0.35">
      <c r="B1029" s="166">
        <v>20251128</v>
      </c>
      <c r="C1029" s="50" t="s">
        <v>209</v>
      </c>
      <c r="D1029" s="246" t="s">
        <v>165</v>
      </c>
      <c r="E1029" s="51" t="s">
        <v>484</v>
      </c>
      <c r="F1029" s="246" t="s">
        <v>1278</v>
      </c>
      <c r="G1029" s="246" t="s">
        <v>155</v>
      </c>
      <c r="H1029" s="93">
        <v>80111600</v>
      </c>
      <c r="I1029" s="247">
        <v>11</v>
      </c>
      <c r="J1029" s="247">
        <v>1.5</v>
      </c>
      <c r="K1029" s="52">
        <v>0</v>
      </c>
      <c r="L1029" s="53">
        <v>8250000</v>
      </c>
      <c r="M1029" s="136" t="s">
        <v>464</v>
      </c>
      <c r="N1029" s="53" t="s">
        <v>113</v>
      </c>
      <c r="O1029" s="51" t="s">
        <v>229</v>
      </c>
      <c r="P1029" s="248" t="str">
        <f>IFERROR(VLOOKUP(C1029,TD!$B$33:$F$37,2,0)," ")</f>
        <v>O230117</v>
      </c>
      <c r="Q1029" s="248" t="str">
        <f>IFERROR(VLOOKUP(C1029,TD!$B$33:$F$37,3,0)," ")</f>
        <v>4503</v>
      </c>
      <c r="R1029" s="248">
        <f>IFERROR(VLOOKUP(C1029,TD!$B$33:$F$37,4,0)," ")</f>
        <v>20240255</v>
      </c>
      <c r="S1029" s="51" t="s">
        <v>183</v>
      </c>
      <c r="T1029" s="248" t="str">
        <f>IFERROR(VLOOKUP(S1029,TD!$J$34:$K$44,2,0)," ")</f>
        <v>Servicio de formación en gestión del riesgo de incendios para el personal UAECOB</v>
      </c>
      <c r="U1029" s="249" t="str">
        <f>CONCATENATE(S1029,"-",T1029)</f>
        <v>07-Servicio de formación en gestión del riesgo de incendios para el personal UAECOB</v>
      </c>
      <c r="V1029" s="51" t="s">
        <v>233</v>
      </c>
      <c r="W1029" s="248" t="str">
        <f>IFERROR(VLOOKUP(V1029,TD!$N$34:$O$46,2,0)," ")</f>
        <v>Servicio de educación informal</v>
      </c>
      <c r="X1029" s="249" t="str">
        <f>CONCATENATE(V1029,"_",W1029)</f>
        <v>002_Servicio de educación informal</v>
      </c>
      <c r="Y1029" s="249" t="str">
        <f>CONCATENATE(U1029," ",X1029)</f>
        <v>07-Servicio de formación en gestión del riesgo de incendios para el personal UAECOB 002_Servicio de educación informal</v>
      </c>
      <c r="Z1029" s="248" t="str">
        <f>CONCATENATE(P1029,Q1029,R1029,S1029,V1029)</f>
        <v>O23011745032024025507002</v>
      </c>
      <c r="AA1029" s="248" t="str">
        <f>IFERROR(VLOOKUP(Y1029,TD!$K$47:$L$65,2,0)," ")</f>
        <v>PM/0131/0107/45030020255</v>
      </c>
      <c r="AB1029" s="53" t="s">
        <v>138</v>
      </c>
      <c r="AC1029" s="250" t="s">
        <v>204</v>
      </c>
    </row>
    <row r="1030" spans="2:29" ht="56" x14ac:dyDescent="0.35">
      <c r="B1030" s="132">
        <v>20251129</v>
      </c>
      <c r="C1030" s="50" t="s">
        <v>209</v>
      </c>
      <c r="D1030" s="246" t="s">
        <v>165</v>
      </c>
      <c r="E1030" s="51" t="s">
        <v>484</v>
      </c>
      <c r="F1030" s="246" t="s">
        <v>1279</v>
      </c>
      <c r="G1030" s="246" t="s">
        <v>155</v>
      </c>
      <c r="H1030" s="93">
        <v>80111600</v>
      </c>
      <c r="I1030" s="247">
        <v>11</v>
      </c>
      <c r="J1030" s="247">
        <v>2.6333333333333333</v>
      </c>
      <c r="K1030" s="52">
        <v>0</v>
      </c>
      <c r="L1030" s="53">
        <v>17380000</v>
      </c>
      <c r="M1030" s="136" t="s">
        <v>464</v>
      </c>
      <c r="N1030" s="53" t="s">
        <v>113</v>
      </c>
      <c r="O1030" s="51" t="s">
        <v>229</v>
      </c>
      <c r="P1030" s="248" t="str">
        <f>IFERROR(VLOOKUP(C1030,TD!$B$33:$F$37,2,0)," ")</f>
        <v>O230117</v>
      </c>
      <c r="Q1030" s="248" t="str">
        <f>IFERROR(VLOOKUP(C1030,TD!$B$33:$F$37,3,0)," ")</f>
        <v>4503</v>
      </c>
      <c r="R1030" s="248">
        <f>IFERROR(VLOOKUP(C1030,TD!$B$33:$F$37,4,0)," ")</f>
        <v>20240255</v>
      </c>
      <c r="S1030" s="51" t="s">
        <v>183</v>
      </c>
      <c r="T1030" s="248" t="str">
        <f>IFERROR(VLOOKUP(S1030,TD!$J$34:$K$44,2,0)," ")</f>
        <v>Servicio de formación en gestión del riesgo de incendios para el personal UAECOB</v>
      </c>
      <c r="U1030" s="249" t="str">
        <f>CONCATENATE(S1030,"-",T1030)</f>
        <v>07-Servicio de formación en gestión del riesgo de incendios para el personal UAECOB</v>
      </c>
      <c r="V1030" s="51" t="s">
        <v>233</v>
      </c>
      <c r="W1030" s="248" t="str">
        <f>IFERROR(VLOOKUP(V1030,TD!$N$34:$O$46,2,0)," ")</f>
        <v>Servicio de educación informal</v>
      </c>
      <c r="X1030" s="249" t="str">
        <f>CONCATENATE(V1030,"_",W1030)</f>
        <v>002_Servicio de educación informal</v>
      </c>
      <c r="Y1030" s="249" t="str">
        <f>CONCATENATE(U1030," ",X1030)</f>
        <v>07-Servicio de formación en gestión del riesgo de incendios para el personal UAECOB 002_Servicio de educación informal</v>
      </c>
      <c r="Z1030" s="248" t="str">
        <f>CONCATENATE(P1030,Q1030,R1030,S1030,V1030)</f>
        <v>O23011745032024025507002</v>
      </c>
      <c r="AA1030" s="248" t="str">
        <f>IFERROR(VLOOKUP(Y1030,TD!$K$47:$L$65,2,0)," ")</f>
        <v>PM/0131/0107/45030020255</v>
      </c>
      <c r="AB1030" s="53" t="s">
        <v>138</v>
      </c>
      <c r="AC1030" s="250" t="s">
        <v>204</v>
      </c>
    </row>
    <row r="1031" spans="2:29" ht="70" x14ac:dyDescent="0.35">
      <c r="B1031" s="137">
        <v>20251130</v>
      </c>
      <c r="C1031" s="129" t="s">
        <v>209</v>
      </c>
      <c r="D1031" s="251" t="s">
        <v>165</v>
      </c>
      <c r="E1031" s="252" t="s">
        <v>484</v>
      </c>
      <c r="F1031" s="251" t="s">
        <v>1280</v>
      </c>
      <c r="G1031" s="251" t="s">
        <v>155</v>
      </c>
      <c r="H1031" s="130">
        <v>80111600</v>
      </c>
      <c r="I1031" s="253">
        <v>11</v>
      </c>
      <c r="J1031" s="253">
        <v>1</v>
      </c>
      <c r="K1031" s="126">
        <v>0</v>
      </c>
      <c r="L1031" s="125">
        <v>11616666</v>
      </c>
      <c r="M1031" s="159" t="s">
        <v>464</v>
      </c>
      <c r="N1031" s="125" t="s">
        <v>113</v>
      </c>
      <c r="O1031" s="252" t="s">
        <v>229</v>
      </c>
      <c r="P1031" s="254" t="str">
        <f>IFERROR(VLOOKUP(C1031,TD!$B$33:$F$37,2,0)," ")</f>
        <v>O230117</v>
      </c>
      <c r="Q1031" s="254" t="str">
        <f>IFERROR(VLOOKUP(C1031,TD!$B$33:$F$37,3,0)," ")</f>
        <v>4503</v>
      </c>
      <c r="R1031" s="254">
        <f>IFERROR(VLOOKUP(C1031,TD!$B$33:$F$37,4,0)," ")</f>
        <v>20240255</v>
      </c>
      <c r="S1031" s="252" t="s">
        <v>183</v>
      </c>
      <c r="T1031" s="254" t="str">
        <f>IFERROR(VLOOKUP(S1031,TD!$J$34:$K$44,2,0)," ")</f>
        <v>Servicio de formación en gestión del riesgo de incendios para el personal UAECOB</v>
      </c>
      <c r="U1031" s="249" t="str">
        <f>CONCATENATE(S1031,"-",T1031)</f>
        <v>07-Servicio de formación en gestión del riesgo de incendios para el personal UAECOB</v>
      </c>
      <c r="V1031" s="252" t="s">
        <v>233</v>
      </c>
      <c r="W1031" s="254" t="str">
        <f>IFERROR(VLOOKUP(V1031,TD!$N$34:$O$46,2,0)," ")</f>
        <v>Servicio de educación informal</v>
      </c>
      <c r="X1031" s="249" t="str">
        <f>CONCATENATE(V1031,"_",W1031)</f>
        <v>002_Servicio de educación informal</v>
      </c>
      <c r="Y1031" s="249" t="str">
        <f>CONCATENATE(U1031," ",X1031)</f>
        <v>07-Servicio de formación en gestión del riesgo de incendios para el personal UAECOB 002_Servicio de educación informal</v>
      </c>
      <c r="Z1031" s="254" t="str">
        <f>CONCATENATE(P1031,Q1031,R1031,S1031,V1031)</f>
        <v>O23011745032024025507002</v>
      </c>
      <c r="AA1031" s="254" t="str">
        <f>IFERROR(VLOOKUP(Y1031,TD!$K$47:$L$65,2,0)," ")</f>
        <v>PM/0131/0107/45030020255</v>
      </c>
      <c r="AB1031" s="125" t="s">
        <v>138</v>
      </c>
      <c r="AC1031" s="255" t="s">
        <v>204</v>
      </c>
    </row>
    <row r="1032" spans="2:29" ht="84" x14ac:dyDescent="0.35">
      <c r="B1032" s="137">
        <v>20251131</v>
      </c>
      <c r="C1032" s="129" t="s">
        <v>209</v>
      </c>
      <c r="D1032" s="251" t="s">
        <v>165</v>
      </c>
      <c r="E1032" s="252" t="s">
        <v>484</v>
      </c>
      <c r="F1032" s="251" t="s">
        <v>1281</v>
      </c>
      <c r="G1032" s="251" t="s">
        <v>156</v>
      </c>
      <c r="H1032" s="130">
        <v>80111600</v>
      </c>
      <c r="I1032" s="253">
        <v>11</v>
      </c>
      <c r="J1032" s="253">
        <v>1.5</v>
      </c>
      <c r="K1032" s="126">
        <v>0</v>
      </c>
      <c r="L1032" s="125">
        <v>6906666</v>
      </c>
      <c r="M1032" s="159" t="s">
        <v>464</v>
      </c>
      <c r="N1032" s="125" t="s">
        <v>113</v>
      </c>
      <c r="O1032" s="252" t="s">
        <v>229</v>
      </c>
      <c r="P1032" s="254" t="str">
        <f>IFERROR(VLOOKUP(C1032,TD!$B$33:$F$37,2,0)," ")</f>
        <v>O230117</v>
      </c>
      <c r="Q1032" s="254" t="str">
        <f>IFERROR(VLOOKUP(C1032,TD!$B$33:$F$37,3,0)," ")</f>
        <v>4503</v>
      </c>
      <c r="R1032" s="254">
        <f>IFERROR(VLOOKUP(C1032,TD!$B$33:$F$37,4,0)," ")</f>
        <v>20240255</v>
      </c>
      <c r="S1032" s="252" t="s">
        <v>183</v>
      </c>
      <c r="T1032" s="254" t="str">
        <f>IFERROR(VLOOKUP(S1032,TD!$J$34:$K$44,2,0)," ")</f>
        <v>Servicio de formación en gestión del riesgo de incendios para el personal UAECOB</v>
      </c>
      <c r="U1032" s="249" t="str">
        <f>CONCATENATE(S1032,"-",T1032)</f>
        <v>07-Servicio de formación en gestión del riesgo de incendios para el personal UAECOB</v>
      </c>
      <c r="V1032" s="252" t="s">
        <v>233</v>
      </c>
      <c r="W1032" s="254" t="str">
        <f>IFERROR(VLOOKUP(V1032,TD!$N$34:$O$46,2,0)," ")</f>
        <v>Servicio de educación informal</v>
      </c>
      <c r="X1032" s="249" t="str">
        <f>CONCATENATE(V1032,"_",W1032)</f>
        <v>002_Servicio de educación informal</v>
      </c>
      <c r="Y1032" s="249" t="str">
        <f>CONCATENATE(U1032," ",X1032)</f>
        <v>07-Servicio de formación en gestión del riesgo de incendios para el personal UAECOB 002_Servicio de educación informal</v>
      </c>
      <c r="Z1032" s="254" t="str">
        <f>CONCATENATE(P1032,Q1032,R1032,S1032,V1032)</f>
        <v>O23011745032024025507002</v>
      </c>
      <c r="AA1032" s="254" t="str">
        <f>IFERROR(VLOOKUP(Y1032,TD!$K$47:$L$65,2,0)," ")</f>
        <v>PM/0131/0107/45030020255</v>
      </c>
      <c r="AB1032" s="125" t="s">
        <v>138</v>
      </c>
      <c r="AC1032" s="255" t="s">
        <v>204</v>
      </c>
    </row>
    <row r="1033" spans="2:29" ht="70" x14ac:dyDescent="0.35">
      <c r="B1033" s="132">
        <v>20251132</v>
      </c>
      <c r="C1033" s="50" t="s">
        <v>209</v>
      </c>
      <c r="D1033" s="246" t="s">
        <v>165</v>
      </c>
      <c r="E1033" s="51" t="s">
        <v>484</v>
      </c>
      <c r="F1033" s="246" t="s">
        <v>1282</v>
      </c>
      <c r="G1033" s="246" t="s">
        <v>156</v>
      </c>
      <c r="H1033" s="93">
        <v>80111600</v>
      </c>
      <c r="I1033" s="247">
        <v>11</v>
      </c>
      <c r="J1033" s="247">
        <v>1.5</v>
      </c>
      <c r="K1033" s="52">
        <v>0</v>
      </c>
      <c r="L1033" s="53">
        <v>5911200</v>
      </c>
      <c r="M1033" s="136" t="s">
        <v>464</v>
      </c>
      <c r="N1033" s="53" t="s">
        <v>113</v>
      </c>
      <c r="O1033" s="51" t="s">
        <v>229</v>
      </c>
      <c r="P1033" s="248" t="str">
        <f>IFERROR(VLOOKUP(C1033,TD!$B$33:$F$37,2,0)," ")</f>
        <v>O230117</v>
      </c>
      <c r="Q1033" s="248" t="str">
        <f>IFERROR(VLOOKUP(C1033,TD!$B$33:$F$37,3,0)," ")</f>
        <v>4503</v>
      </c>
      <c r="R1033" s="248">
        <f>IFERROR(VLOOKUP(C1033,TD!$B$33:$F$37,4,0)," ")</f>
        <v>20240255</v>
      </c>
      <c r="S1033" s="51" t="s">
        <v>183</v>
      </c>
      <c r="T1033" s="248" t="str">
        <f>IFERROR(VLOOKUP(S1033,TD!$J$34:$K$44,2,0)," ")</f>
        <v>Servicio de formación en gestión del riesgo de incendios para el personal UAECOB</v>
      </c>
      <c r="U1033" s="249" t="str">
        <f>CONCATENATE(S1033,"-",T1033)</f>
        <v>07-Servicio de formación en gestión del riesgo de incendios para el personal UAECOB</v>
      </c>
      <c r="V1033" s="51" t="s">
        <v>233</v>
      </c>
      <c r="W1033" s="248" t="str">
        <f>IFERROR(VLOOKUP(V1033,TD!$N$34:$O$46,2,0)," ")</f>
        <v>Servicio de educación informal</v>
      </c>
      <c r="X1033" s="249" t="str">
        <f>CONCATENATE(V1033,"_",W1033)</f>
        <v>002_Servicio de educación informal</v>
      </c>
      <c r="Y1033" s="249" t="str">
        <f>CONCATENATE(U1033," ",X1033)</f>
        <v>07-Servicio de formación en gestión del riesgo de incendios para el personal UAECOB 002_Servicio de educación informal</v>
      </c>
      <c r="Z1033" s="248" t="str">
        <f>CONCATENATE(P1033,Q1033,R1033,S1033,V1033)</f>
        <v>O23011745032024025507002</v>
      </c>
      <c r="AA1033" s="248" t="str">
        <f>IFERROR(VLOOKUP(Y1033,TD!$K$47:$L$65,2,0)," ")</f>
        <v>PM/0131/0107/45030020255</v>
      </c>
      <c r="AB1033" s="53" t="s">
        <v>138</v>
      </c>
      <c r="AC1033" s="250" t="s">
        <v>204</v>
      </c>
    </row>
    <row r="1034" spans="2:29" ht="70" x14ac:dyDescent="0.35">
      <c r="B1034" s="77">
        <v>20251133</v>
      </c>
      <c r="C1034" s="50" t="s">
        <v>209</v>
      </c>
      <c r="D1034" s="246" t="s">
        <v>165</v>
      </c>
      <c r="E1034" s="51" t="s">
        <v>484</v>
      </c>
      <c r="F1034" s="246" t="s">
        <v>1283</v>
      </c>
      <c r="G1034" s="246" t="s">
        <v>155</v>
      </c>
      <c r="H1034" s="93">
        <v>80111600</v>
      </c>
      <c r="I1034" s="247">
        <v>11</v>
      </c>
      <c r="J1034" s="247">
        <v>2</v>
      </c>
      <c r="K1034" s="52">
        <v>0</v>
      </c>
      <c r="L1034" s="53">
        <v>19600000</v>
      </c>
      <c r="M1034" s="136" t="s">
        <v>464</v>
      </c>
      <c r="N1034" s="53" t="s">
        <v>113</v>
      </c>
      <c r="O1034" s="51" t="s">
        <v>229</v>
      </c>
      <c r="P1034" s="248" t="str">
        <f>IFERROR(VLOOKUP(C1034,TD!$B$33:$F$37,2,0)," ")</f>
        <v>O230117</v>
      </c>
      <c r="Q1034" s="248" t="str">
        <f>IFERROR(VLOOKUP(C1034,TD!$B$33:$F$37,3,0)," ")</f>
        <v>4503</v>
      </c>
      <c r="R1034" s="248">
        <f>IFERROR(VLOOKUP(C1034,TD!$B$33:$F$37,4,0)," ")</f>
        <v>20240255</v>
      </c>
      <c r="S1034" s="51" t="s">
        <v>183</v>
      </c>
      <c r="T1034" s="248" t="str">
        <f>IFERROR(VLOOKUP(S1034,TD!$J$34:$K$44,2,0)," ")</f>
        <v>Servicio de formación en gestión del riesgo de incendios para el personal UAECOB</v>
      </c>
      <c r="U1034" s="249" t="str">
        <f>CONCATENATE(S1034,"-",T1034)</f>
        <v>07-Servicio de formación en gestión del riesgo de incendios para el personal UAECOB</v>
      </c>
      <c r="V1034" s="51" t="s">
        <v>233</v>
      </c>
      <c r="W1034" s="248" t="str">
        <f>IFERROR(VLOOKUP(V1034,TD!$N$34:$O$46,2,0)," ")</f>
        <v>Servicio de educación informal</v>
      </c>
      <c r="X1034" s="249" t="str">
        <f>CONCATENATE(V1034,"_",W1034)</f>
        <v>002_Servicio de educación informal</v>
      </c>
      <c r="Y1034" s="249" t="str">
        <f>CONCATENATE(U1034," ",X1034)</f>
        <v>07-Servicio de formación en gestión del riesgo de incendios para el personal UAECOB 002_Servicio de educación informal</v>
      </c>
      <c r="Z1034" s="248" t="str">
        <f>CONCATENATE(P1034,Q1034,R1034,S1034,V1034)</f>
        <v>O23011745032024025507002</v>
      </c>
      <c r="AA1034" s="248" t="str">
        <f>IFERROR(VLOOKUP(Y1034,TD!$K$47:$L$65,2,0)," ")</f>
        <v>PM/0131/0107/45030020255</v>
      </c>
      <c r="AB1034" s="53" t="s">
        <v>120</v>
      </c>
      <c r="AC1034" s="250" t="s">
        <v>204</v>
      </c>
    </row>
    <row r="1035" spans="2:29" ht="42" x14ac:dyDescent="0.35">
      <c r="B1035" s="160">
        <v>20251134</v>
      </c>
      <c r="C1035" s="50" t="s">
        <v>209</v>
      </c>
      <c r="D1035" s="246" t="s">
        <v>165</v>
      </c>
      <c r="E1035" s="51" t="s">
        <v>484</v>
      </c>
      <c r="F1035" s="246" t="s">
        <v>1284</v>
      </c>
      <c r="G1035" s="246" t="s">
        <v>155</v>
      </c>
      <c r="H1035" s="93">
        <v>80111600</v>
      </c>
      <c r="I1035" s="247">
        <v>11</v>
      </c>
      <c r="J1035" s="247">
        <v>1</v>
      </c>
      <c r="K1035" s="52">
        <v>0</v>
      </c>
      <c r="L1035" s="53">
        <v>7150000</v>
      </c>
      <c r="M1035" s="136" t="s">
        <v>464</v>
      </c>
      <c r="N1035" s="53" t="s">
        <v>113</v>
      </c>
      <c r="O1035" s="51" t="s">
        <v>229</v>
      </c>
      <c r="P1035" s="248" t="str">
        <f>IFERROR(VLOOKUP(C1035,TD!$B$33:$F$37,2,0)," ")</f>
        <v>O230117</v>
      </c>
      <c r="Q1035" s="248" t="str">
        <f>IFERROR(VLOOKUP(C1035,TD!$B$33:$F$37,3,0)," ")</f>
        <v>4503</v>
      </c>
      <c r="R1035" s="248">
        <f>IFERROR(VLOOKUP(C1035,TD!$B$33:$F$37,4,0)," ")</f>
        <v>20240255</v>
      </c>
      <c r="S1035" s="51" t="s">
        <v>183</v>
      </c>
      <c r="T1035" s="248" t="str">
        <f>IFERROR(VLOOKUP(S1035,TD!$J$34:$K$44,2,0)," ")</f>
        <v>Servicio de formación en gestión del riesgo de incendios para el personal UAECOB</v>
      </c>
      <c r="U1035" s="249" t="str">
        <f>CONCATENATE(S1035,"-",T1035)</f>
        <v>07-Servicio de formación en gestión del riesgo de incendios para el personal UAECOB</v>
      </c>
      <c r="V1035" s="51" t="s">
        <v>233</v>
      </c>
      <c r="W1035" s="248" t="str">
        <f>IFERROR(VLOOKUP(V1035,TD!$N$34:$O$46,2,0)," ")</f>
        <v>Servicio de educación informal</v>
      </c>
      <c r="X1035" s="249" t="str">
        <f>CONCATENATE(V1035,"_",W1035)</f>
        <v>002_Servicio de educación informal</v>
      </c>
      <c r="Y1035" s="249" t="str">
        <f>CONCATENATE(U1035," ",X1035)</f>
        <v>07-Servicio de formación en gestión del riesgo de incendios para el personal UAECOB 002_Servicio de educación informal</v>
      </c>
      <c r="Z1035" s="248" t="str">
        <f>CONCATENATE(P1035,Q1035,R1035,S1035,V1035)</f>
        <v>O23011745032024025507002</v>
      </c>
      <c r="AA1035" s="248" t="str">
        <f>IFERROR(VLOOKUP(Y1035,TD!$K$47:$L$65,2,0)," ")</f>
        <v>PM/0131/0107/45030020255</v>
      </c>
      <c r="AB1035" s="53" t="s">
        <v>138</v>
      </c>
      <c r="AC1035" s="250" t="s">
        <v>204</v>
      </c>
    </row>
    <row r="1036" spans="2:29" ht="56" x14ac:dyDescent="0.35">
      <c r="B1036" s="77">
        <v>20251135</v>
      </c>
      <c r="C1036" s="50" t="s">
        <v>209</v>
      </c>
      <c r="D1036" s="246" t="s">
        <v>165</v>
      </c>
      <c r="E1036" s="51" t="s">
        <v>484</v>
      </c>
      <c r="F1036" s="246" t="s">
        <v>1285</v>
      </c>
      <c r="G1036" s="246" t="s">
        <v>155</v>
      </c>
      <c r="H1036" s="93">
        <v>80111600</v>
      </c>
      <c r="I1036" s="247">
        <v>11</v>
      </c>
      <c r="J1036" s="247">
        <v>2</v>
      </c>
      <c r="K1036" s="52">
        <v>0</v>
      </c>
      <c r="L1036" s="53">
        <v>16000000.000000002</v>
      </c>
      <c r="M1036" s="136" t="s">
        <v>464</v>
      </c>
      <c r="N1036" s="53" t="s">
        <v>113</v>
      </c>
      <c r="O1036" s="51" t="s">
        <v>229</v>
      </c>
      <c r="P1036" s="248" t="str">
        <f>IFERROR(VLOOKUP(C1036,TD!$B$33:$F$37,2,0)," ")</f>
        <v>O230117</v>
      </c>
      <c r="Q1036" s="248" t="str">
        <f>IFERROR(VLOOKUP(C1036,TD!$B$33:$F$37,3,0)," ")</f>
        <v>4503</v>
      </c>
      <c r="R1036" s="248">
        <f>IFERROR(VLOOKUP(C1036,TD!$B$33:$F$37,4,0)," ")</f>
        <v>20240255</v>
      </c>
      <c r="S1036" s="51" t="s">
        <v>183</v>
      </c>
      <c r="T1036" s="248" t="str">
        <f>IFERROR(VLOOKUP(S1036,TD!$J$34:$K$44,2,0)," ")</f>
        <v>Servicio de formación en gestión del riesgo de incendios para el personal UAECOB</v>
      </c>
      <c r="U1036" s="249" t="str">
        <f>CONCATENATE(S1036,"-",T1036)</f>
        <v>07-Servicio de formación en gestión del riesgo de incendios para el personal UAECOB</v>
      </c>
      <c r="V1036" s="51" t="s">
        <v>233</v>
      </c>
      <c r="W1036" s="248" t="str">
        <f>IFERROR(VLOOKUP(V1036,TD!$N$34:$O$46,2,0)," ")</f>
        <v>Servicio de educación informal</v>
      </c>
      <c r="X1036" s="249" t="str">
        <f>CONCATENATE(V1036,"_",W1036)</f>
        <v>002_Servicio de educación informal</v>
      </c>
      <c r="Y1036" s="249" t="str">
        <f>CONCATENATE(U1036," ",X1036)</f>
        <v>07-Servicio de formación en gestión del riesgo de incendios para el personal UAECOB 002_Servicio de educación informal</v>
      </c>
      <c r="Z1036" s="248" t="str">
        <f>CONCATENATE(P1036,Q1036,R1036,S1036,V1036)</f>
        <v>O23011745032024025507002</v>
      </c>
      <c r="AA1036" s="248" t="str">
        <f>IFERROR(VLOOKUP(Y1036,TD!$K$47:$L$65,2,0)," ")</f>
        <v>PM/0131/0107/45030020255</v>
      </c>
      <c r="AB1036" s="53" t="s">
        <v>138</v>
      </c>
      <c r="AC1036" s="250" t="s">
        <v>204</v>
      </c>
    </row>
    <row r="1037" spans="2:29" ht="56" x14ac:dyDescent="0.35">
      <c r="B1037" s="132">
        <v>20251136</v>
      </c>
      <c r="C1037" s="50" t="s">
        <v>209</v>
      </c>
      <c r="D1037" s="246" t="s">
        <v>165</v>
      </c>
      <c r="E1037" s="51" t="s">
        <v>484</v>
      </c>
      <c r="F1037" s="298" t="s">
        <v>1286</v>
      </c>
      <c r="G1037" s="298" t="s">
        <v>155</v>
      </c>
      <c r="H1037" s="134">
        <v>80111600</v>
      </c>
      <c r="I1037" s="299">
        <v>11</v>
      </c>
      <c r="J1037" s="299">
        <v>1.5</v>
      </c>
      <c r="K1037" s="135">
        <v>0</v>
      </c>
      <c r="L1037" s="131">
        <v>10966667</v>
      </c>
      <c r="M1037" s="136" t="s">
        <v>464</v>
      </c>
      <c r="N1037" s="53" t="s">
        <v>113</v>
      </c>
      <c r="O1037" s="51" t="s">
        <v>229</v>
      </c>
      <c r="P1037" s="300" t="str">
        <f>IFERROR(VLOOKUP(C1037,TD!$B$33:$F$37,2,0)," ")</f>
        <v>O230117</v>
      </c>
      <c r="Q1037" s="300" t="str">
        <f>IFERROR(VLOOKUP(C1037,TD!$B$33:$F$37,3,0)," ")</f>
        <v>4503</v>
      </c>
      <c r="R1037" s="300">
        <f>IFERROR(VLOOKUP(C1037,TD!$B$33:$F$37,4,0)," ")</f>
        <v>20240255</v>
      </c>
      <c r="S1037" s="51" t="s">
        <v>183</v>
      </c>
      <c r="T1037" s="248" t="str">
        <f>IFERROR(VLOOKUP(S1037,TD!$J$34:$K$44,2,0)," ")</f>
        <v>Servicio de formación en gestión del riesgo de incendios para el personal UAECOB</v>
      </c>
      <c r="U1037" s="249" t="str">
        <f>CONCATENATE(S1037,"-",T1037)</f>
        <v>07-Servicio de formación en gestión del riesgo de incendios para el personal UAECOB</v>
      </c>
      <c r="V1037" s="51" t="s">
        <v>233</v>
      </c>
      <c r="W1037" s="248" t="str">
        <f>IFERROR(VLOOKUP(V1037,TD!$N$34:$O$46,2,0)," ")</f>
        <v>Servicio de educación informal</v>
      </c>
      <c r="X1037" s="296" t="str">
        <f>CONCATENATE(V1037,"_",W1037)</f>
        <v>002_Servicio de educación informal</v>
      </c>
      <c r="Y1037" s="296" t="str">
        <f>CONCATENATE(U1037," ",X1037)</f>
        <v>07-Servicio de formación en gestión del riesgo de incendios para el personal UAECOB 002_Servicio de educación informal</v>
      </c>
      <c r="Z1037" s="300" t="str">
        <f>CONCATENATE(P1037,Q1037,R1037,S1037,V1037)</f>
        <v>O23011745032024025507002</v>
      </c>
      <c r="AA1037" s="300" t="str">
        <f>IFERROR(VLOOKUP(Y1037,TD!$K$47:$L$65,2,0)," ")</f>
        <v>PM/0131/0107/45030020255</v>
      </c>
      <c r="AB1037" s="53" t="s">
        <v>138</v>
      </c>
      <c r="AC1037" s="250" t="s">
        <v>204</v>
      </c>
    </row>
    <row r="1038" spans="2:29" ht="56" x14ac:dyDescent="0.35">
      <c r="B1038" s="137">
        <v>20251137</v>
      </c>
      <c r="C1038" s="129" t="s">
        <v>208</v>
      </c>
      <c r="D1038" s="251" t="s">
        <v>162</v>
      </c>
      <c r="E1038" s="252" t="s">
        <v>355</v>
      </c>
      <c r="F1038" s="292" t="s">
        <v>1288</v>
      </c>
      <c r="G1038" s="292" t="s">
        <v>155</v>
      </c>
      <c r="H1038" s="139">
        <v>80111600</v>
      </c>
      <c r="I1038" s="293">
        <v>10</v>
      </c>
      <c r="J1038" s="293">
        <v>3</v>
      </c>
      <c r="K1038" s="140">
        <v>0</v>
      </c>
      <c r="L1038" s="141">
        <f>5690816-161080</f>
        <v>5529736</v>
      </c>
      <c r="M1038" s="251" t="s">
        <v>464</v>
      </c>
      <c r="N1038" s="125" t="s">
        <v>113</v>
      </c>
      <c r="O1038" s="252" t="s">
        <v>217</v>
      </c>
      <c r="P1038" s="294" t="s">
        <v>198</v>
      </c>
      <c r="Q1038" s="294" t="s">
        <v>200</v>
      </c>
      <c r="R1038" s="294">
        <v>20240207</v>
      </c>
      <c r="S1038" s="252" t="s">
        <v>179</v>
      </c>
      <c r="T1038" s="254" t="str">
        <f>IFERROR(VLOOKUP(S1038,TD!$J$34:$K$44,2,0)," ")</f>
        <v>Infraestructura Tecnológica   (Sistemas de Información y Tecnologia)</v>
      </c>
      <c r="U1038" s="249" t="str">
        <f>CONCATENATE(S1038,"-",T1038)</f>
        <v>11-Infraestructura Tecnológica   (Sistemas de Información y Tecnologia)</v>
      </c>
      <c r="V1038" s="252" t="s">
        <v>239</v>
      </c>
      <c r="W1038" s="254" t="str">
        <f>IFERROR(VLOOKUP(V1038,TD!$N$34:$O$46,2,0)," ")</f>
        <v>Servicios tecnológicos</v>
      </c>
      <c r="X1038" s="296" t="str">
        <f>CONCATENATE(V1038,"_",W1038)</f>
        <v>007_Servicios tecnológicos</v>
      </c>
      <c r="Y1038" s="296" t="str">
        <f>CONCATENATE(U1038," ",X1038)</f>
        <v>11-Infraestructura Tecnológica   (Sistemas de Información y Tecnologia) 007_Servicios tecnológicos</v>
      </c>
      <c r="Z1038" s="294" t="str">
        <f>CONCATENATE(P1038,Q1038,R1038,S1038,V1038)</f>
        <v>O23011745992024020711007</v>
      </c>
      <c r="AA1038" s="294" t="str">
        <f>IFERROR(VLOOKUP(Y1038,TD!$K$47:$L$65,2,0)," ")</f>
        <v>PM/0131/0111/45990070207</v>
      </c>
      <c r="AB1038" s="125" t="s">
        <v>138</v>
      </c>
      <c r="AC1038" s="255" t="s">
        <v>204</v>
      </c>
    </row>
    <row r="1039" spans="2:29" ht="70" x14ac:dyDescent="0.35">
      <c r="B1039" s="137">
        <v>20251138</v>
      </c>
      <c r="C1039" s="129" t="s">
        <v>346</v>
      </c>
      <c r="D1039" s="251" t="s">
        <v>162</v>
      </c>
      <c r="E1039" s="252" t="s">
        <v>355</v>
      </c>
      <c r="F1039" s="292" t="s">
        <v>1289</v>
      </c>
      <c r="G1039" s="292" t="s">
        <v>149</v>
      </c>
      <c r="H1039" s="139" t="s">
        <v>1290</v>
      </c>
      <c r="I1039" s="293">
        <v>10</v>
      </c>
      <c r="J1039" s="293">
        <v>12</v>
      </c>
      <c r="K1039" s="140">
        <v>0</v>
      </c>
      <c r="L1039" s="141">
        <v>31174511</v>
      </c>
      <c r="M1039" s="251" t="s">
        <v>172</v>
      </c>
      <c r="N1039" s="141" t="s">
        <v>113</v>
      </c>
      <c r="O1039" s="252" t="s">
        <v>347</v>
      </c>
      <c r="P1039" s="294" t="str">
        <f>IFERROR(VLOOKUP(C1039,TD!$B$33:$F$37,2,0)," ")</f>
        <v>NA</v>
      </c>
      <c r="Q1039" s="294" t="str">
        <f>IFERROR(VLOOKUP(C1039,TD!$B$33:$F$37,3,0)," ")</f>
        <v>NA</v>
      </c>
      <c r="R1039" s="294" t="str">
        <f>IFERROR(VLOOKUP(C1039,TD!$B$33:$F$37,4,0)," ")</f>
        <v>NA</v>
      </c>
      <c r="S1039" s="252" t="s">
        <v>406</v>
      </c>
      <c r="T1039" s="254" t="str">
        <f>IFERROR(VLOOKUP(S1039,TD!$J$34:$K$44,2,0)," ")</f>
        <v>N/A</v>
      </c>
      <c r="U1039" s="249" t="str">
        <f>CONCATENATE(S1039,"-",T1039)</f>
        <v>N/A-N/A</v>
      </c>
      <c r="V1039" s="252" t="s">
        <v>406</v>
      </c>
      <c r="W1039" s="254" t="str">
        <f>IFERROR(VLOOKUP(V1039,TD!$N$34:$O$46,2,0)," ")</f>
        <v>N/A</v>
      </c>
      <c r="X1039" s="296" t="str">
        <f>CONCATENATE(V1039,"_",W1039)</f>
        <v>N/A_N/A</v>
      </c>
      <c r="Y1039" s="296" t="str">
        <f>CONCATENATE(U1039," ",X1039)</f>
        <v>N/A-N/A N/A_N/A</v>
      </c>
      <c r="Z1039" s="294" t="str">
        <f>CONCATENATE(P1039,Q1039,R1039,S1039,V1039)</f>
        <v>NANANAN/AN/A</v>
      </c>
      <c r="AA1039" s="294" t="str">
        <f>IFERROR(VLOOKUP(Y1039,TD!$K$47:$L$65,2,0)," ")</f>
        <v>N/A</v>
      </c>
      <c r="AB1039" s="141" t="s">
        <v>444</v>
      </c>
      <c r="AC1039" s="297" t="s">
        <v>204</v>
      </c>
    </row>
    <row r="1040" spans="2:29" ht="84" x14ac:dyDescent="0.35">
      <c r="B1040" s="137">
        <v>20251139</v>
      </c>
      <c r="C1040" s="129" t="s">
        <v>209</v>
      </c>
      <c r="D1040" s="251" t="s">
        <v>169</v>
      </c>
      <c r="E1040" s="252" t="s">
        <v>465</v>
      </c>
      <c r="F1040" s="292" t="s">
        <v>1359</v>
      </c>
      <c r="G1040" s="292" t="s">
        <v>109</v>
      </c>
      <c r="H1040" s="139" t="s">
        <v>1292</v>
      </c>
      <c r="I1040" s="293">
        <v>12</v>
      </c>
      <c r="J1040" s="293">
        <v>4</v>
      </c>
      <c r="K1040" s="140">
        <v>0</v>
      </c>
      <c r="L1040" s="141">
        <v>6850311197</v>
      </c>
      <c r="M1040" s="251" t="s">
        <v>1287</v>
      </c>
      <c r="N1040" s="141" t="s">
        <v>95</v>
      </c>
      <c r="O1040" s="252" t="s">
        <v>222</v>
      </c>
      <c r="P1040" s="294" t="str">
        <f>IFERROR(VLOOKUP(C1040,TD!$B$33:$F$37,2,0)," ")</f>
        <v>O230117</v>
      </c>
      <c r="Q1040" s="294" t="str">
        <f>IFERROR(VLOOKUP(C1040,TD!$B$33:$F$37,3,0)," ")</f>
        <v>4503</v>
      </c>
      <c r="R1040" s="294">
        <f>IFERROR(VLOOKUP(C1040,TD!$B$33:$F$37,4,0)," ")</f>
        <v>20240255</v>
      </c>
      <c r="S1040" s="252" t="s">
        <v>189</v>
      </c>
      <c r="T1040" s="254" t="str">
        <f>IFERROR(VLOOKUP(S1040,TD!$J$34:$K$44,2,0)," ")</f>
        <v>Servicio de dotación y equipamento para el personal operativo</v>
      </c>
      <c r="U1040" s="249" t="str">
        <f>CONCATENATE(S1040,"-",T1040)</f>
        <v>10-Servicio de dotación y equipamento para el personal operativo</v>
      </c>
      <c r="V1040" s="252" t="s">
        <v>232</v>
      </c>
      <c r="W1040" s="254" t="str">
        <f>IFERROR(VLOOKUP(V1040,TD!$N$34:$O$46,2,0)," ")</f>
        <v>Servicio de atención a emergencias y desastres</v>
      </c>
      <c r="X1040" s="296" t="str">
        <f>CONCATENATE(V1040,"_",W1040)</f>
        <v>004_Servicio de atención a emergencias y desastres</v>
      </c>
      <c r="Y1040" s="296" t="str">
        <f>CONCATENATE(U1040," ",X1040)</f>
        <v>10-Servicio de dotación y equipamento para el personal operativo 004_Servicio de atención a emergencias y desastres</v>
      </c>
      <c r="Z1040" s="294" t="str">
        <f>CONCATENATE(P1040,Q1040,R1040,S1040,V1040)</f>
        <v>O23011745032024025510004</v>
      </c>
      <c r="AA1040" s="294" t="str">
        <f>IFERROR(VLOOKUP(Y1040,TD!$K$47:$L$65,2,0)," ")</f>
        <v>PM/0131/0110/45030040255</v>
      </c>
      <c r="AB1040" s="141" t="s">
        <v>87</v>
      </c>
      <c r="AC1040" s="297" t="s">
        <v>204</v>
      </c>
    </row>
    <row r="1041" spans="2:29" ht="98" x14ac:dyDescent="0.35">
      <c r="B1041" s="417">
        <v>20251141</v>
      </c>
      <c r="C1041" s="133" t="s">
        <v>208</v>
      </c>
      <c r="D1041" s="329" t="s">
        <v>166</v>
      </c>
      <c r="E1041" s="51" t="s">
        <v>558</v>
      </c>
      <c r="F1041" s="298" t="s">
        <v>1293</v>
      </c>
      <c r="G1041" s="432" t="s">
        <v>155</v>
      </c>
      <c r="H1041" s="433" t="s">
        <v>606</v>
      </c>
      <c r="I1041" s="438">
        <v>10</v>
      </c>
      <c r="J1041" s="438">
        <v>3</v>
      </c>
      <c r="K1041" s="442">
        <v>0</v>
      </c>
      <c r="L1041" s="447">
        <v>21000000</v>
      </c>
      <c r="M1041" s="432" t="s">
        <v>464</v>
      </c>
      <c r="N1041" s="447" t="s">
        <v>113</v>
      </c>
      <c r="O1041" s="51" t="s">
        <v>218</v>
      </c>
      <c r="P1041" s="457" t="str">
        <f>IFERROR(VLOOKUP(C1041,TD!$B$33:$F$37,2,0)," ")</f>
        <v>O230117</v>
      </c>
      <c r="Q1041" s="457" t="str">
        <f>IFERROR(VLOOKUP(C1041,TD!$B$33:$F$37,3,0)," ")</f>
        <v>4599</v>
      </c>
      <c r="R1041" s="457">
        <f>IFERROR(VLOOKUP(C1041,TD!$B$33:$F$37,4,0)," ")</f>
        <v>20240207</v>
      </c>
      <c r="S1041" s="252" t="s">
        <v>185</v>
      </c>
      <c r="T1041" s="254" t="str">
        <f>IFERROR(VLOOKUP(S1041,TD!$J$34:$K$44,2,0)," ")</f>
        <v>Infraestructura física, mantenimiento y dotación (Sedes construidas, mantenidas reforzadas)</v>
      </c>
      <c r="U1041" s="249" t="str">
        <f>CONCATENATE(S1041,"-",T1041)</f>
        <v>08-Infraestructura física, mantenimiento y dotación (Sedes construidas, mantenidas reforzadas)</v>
      </c>
      <c r="V1041" s="252" t="s">
        <v>238</v>
      </c>
      <c r="W1041" s="254" t="str">
        <f>IFERROR(VLOOKUP(V1041,TD!$N$34:$O$46,2,0)," ")</f>
        <v>Sedes mantenidas</v>
      </c>
      <c r="X1041" s="296" t="str">
        <f>CONCATENATE(V1041,"_",W1041)</f>
        <v>016_Sedes mantenidas</v>
      </c>
      <c r="Y1041" s="296" t="str">
        <f>CONCATENATE(U1041," ",X1041)</f>
        <v>08-Infraestructura física, mantenimiento y dotación (Sedes construidas, mantenidas reforzadas) 016_Sedes mantenidas</v>
      </c>
      <c r="Z1041" s="457" t="str">
        <f>CONCATENATE(P1041,Q1041,R1041,S1041,V1041)</f>
        <v>O23011745992024020708016</v>
      </c>
      <c r="AA1041" s="457" t="str">
        <f>IFERROR(VLOOKUP(Y1041,TD!$K$47:$L$65,2,0)," ")</f>
        <v>PM/0131/0108/45990160207</v>
      </c>
      <c r="AB1041" s="447" t="s">
        <v>138</v>
      </c>
      <c r="AC1041" s="463" t="s">
        <v>204</v>
      </c>
    </row>
    <row r="1042" spans="2:29" ht="70" x14ac:dyDescent="0.35">
      <c r="B1042" s="77">
        <v>20251142</v>
      </c>
      <c r="C1042" s="233" t="s">
        <v>208</v>
      </c>
      <c r="D1042" s="329" t="s">
        <v>166</v>
      </c>
      <c r="E1042" s="51" t="s">
        <v>558</v>
      </c>
      <c r="F1042" s="246" t="s">
        <v>1294</v>
      </c>
      <c r="G1042" s="246" t="s">
        <v>155</v>
      </c>
      <c r="H1042" s="93" t="s">
        <v>606</v>
      </c>
      <c r="I1042" s="247">
        <v>10</v>
      </c>
      <c r="J1042" s="247">
        <v>3</v>
      </c>
      <c r="K1042" s="52">
        <v>0</v>
      </c>
      <c r="L1042" s="53">
        <v>21000000</v>
      </c>
      <c r="M1042" s="329" t="s">
        <v>464</v>
      </c>
      <c r="N1042" s="243" t="s">
        <v>113</v>
      </c>
      <c r="O1042" s="331" t="s">
        <v>218</v>
      </c>
      <c r="P1042" s="248" t="str">
        <f>IFERROR(VLOOKUP(C1042,TD!$B$33:$F$37,2,0)," ")</f>
        <v>O230117</v>
      </c>
      <c r="Q1042" s="248" t="str">
        <f>IFERROR(VLOOKUP(C1042,TD!$B$33:$F$37,3,0)," ")</f>
        <v>4599</v>
      </c>
      <c r="R1042" s="248">
        <f>IFERROR(VLOOKUP(C1042,TD!$B$33:$F$37,4,0)," ")</f>
        <v>20240207</v>
      </c>
      <c r="S1042" s="252" t="s">
        <v>185</v>
      </c>
      <c r="T1042" s="254" t="str">
        <f>IFERROR(VLOOKUP(S1042,TD!$J$34:$K$44,2,0)," ")</f>
        <v>Infraestructura física, mantenimiento y dotación (Sedes construidas, mantenidas reforzadas)</v>
      </c>
      <c r="U1042" s="249" t="str">
        <f>CONCATENATE(S1042,"-",T1042)</f>
        <v>08-Infraestructura física, mantenimiento y dotación (Sedes construidas, mantenidas reforzadas)</v>
      </c>
      <c r="V1042" s="252" t="s">
        <v>238</v>
      </c>
      <c r="W1042" s="254" t="str">
        <f>IFERROR(VLOOKUP(V1042,TD!$N$34:$O$46,2,0)," ")</f>
        <v>Sedes mantenidas</v>
      </c>
      <c r="X1042" s="249" t="str">
        <f>CONCATENATE(V1042,"_",W1042)</f>
        <v>016_Sedes mantenidas</v>
      </c>
      <c r="Y1042" s="249" t="str">
        <f>CONCATENATE(U1042," ",X1042)</f>
        <v>08-Infraestructura física, mantenimiento y dotación (Sedes construidas, mantenidas reforzadas) 016_Sedes mantenidas</v>
      </c>
      <c r="Z1042" s="248" t="str">
        <f>CONCATENATE(P1042,Q1042,R1042,S1042,V1042)</f>
        <v>O23011745992024020708016</v>
      </c>
      <c r="AA1042" s="248" t="str">
        <f>IFERROR(VLOOKUP(Y1042,TD!$K$47:$L$65,2,0)," ")</f>
        <v>PM/0131/0108/45990160207</v>
      </c>
      <c r="AB1042" s="243" t="s">
        <v>138</v>
      </c>
      <c r="AC1042" s="330" t="s">
        <v>204</v>
      </c>
    </row>
    <row r="1043" spans="2:29" ht="70" x14ac:dyDescent="0.35">
      <c r="B1043" s="132">
        <v>20251143</v>
      </c>
      <c r="C1043" s="233" t="s">
        <v>208</v>
      </c>
      <c r="D1043" s="329" t="s">
        <v>166</v>
      </c>
      <c r="E1043" s="51" t="s">
        <v>558</v>
      </c>
      <c r="F1043" s="298" t="s">
        <v>1295</v>
      </c>
      <c r="G1043" s="298" t="s">
        <v>155</v>
      </c>
      <c r="H1043" s="134" t="s">
        <v>606</v>
      </c>
      <c r="I1043" s="299">
        <v>10</v>
      </c>
      <c r="J1043" s="299">
        <v>3</v>
      </c>
      <c r="K1043" s="135">
        <v>0</v>
      </c>
      <c r="L1043" s="131">
        <v>21000000</v>
      </c>
      <c r="M1043" s="329" t="s">
        <v>464</v>
      </c>
      <c r="N1043" s="243" t="s">
        <v>113</v>
      </c>
      <c r="O1043" s="331" t="s">
        <v>219</v>
      </c>
      <c r="P1043" s="300" t="str">
        <f>IFERROR(VLOOKUP(C1043,TD!$B$33:$F$37,2,0)," ")</f>
        <v>O230117</v>
      </c>
      <c r="Q1043" s="300" t="str">
        <f>IFERROR(VLOOKUP(C1043,TD!$B$33:$F$37,3,0)," ")</f>
        <v>4599</v>
      </c>
      <c r="R1043" s="300">
        <f>IFERROR(VLOOKUP(C1043,TD!$B$33:$F$37,4,0)," ")</f>
        <v>20240207</v>
      </c>
      <c r="S1043" s="252" t="s">
        <v>185</v>
      </c>
      <c r="T1043" s="254" t="str">
        <f>IFERROR(VLOOKUP(S1043,TD!$J$34:$K$44,2,0)," ")</f>
        <v>Infraestructura física, mantenimiento y dotación (Sedes construidas, mantenidas reforzadas)</v>
      </c>
      <c r="U1043" s="249" t="str">
        <f>CONCATENATE(S1043,"-",T1043)</f>
        <v>08-Infraestructura física, mantenimiento y dotación (Sedes construidas, mantenidas reforzadas)</v>
      </c>
      <c r="V1043" s="252" t="s">
        <v>238</v>
      </c>
      <c r="W1043" s="254" t="str">
        <f>IFERROR(VLOOKUP(V1043,TD!$N$34:$O$46,2,0)," ")</f>
        <v>Sedes mantenidas</v>
      </c>
      <c r="X1043" s="296" t="str">
        <f>CONCATENATE(V1043,"_",W1043)</f>
        <v>016_Sedes mantenidas</v>
      </c>
      <c r="Y1043" s="296" t="str">
        <f>CONCATENATE(U1043," ",X1043)</f>
        <v>08-Infraestructura física, mantenimiento y dotación (Sedes construidas, mantenidas reforzadas) 016_Sedes mantenidas</v>
      </c>
      <c r="Z1043" s="300" t="str">
        <f>CONCATENATE(P1043,Q1043,R1043,S1043,V1043)</f>
        <v>O23011745992024020708016</v>
      </c>
      <c r="AA1043" s="300" t="str">
        <f>IFERROR(VLOOKUP(Y1043,TD!$K$47:$L$65,2,0)," ")</f>
        <v>PM/0131/0108/45990160207</v>
      </c>
      <c r="AB1043" s="447" t="s">
        <v>138</v>
      </c>
      <c r="AC1043" s="330" t="s">
        <v>204</v>
      </c>
    </row>
    <row r="1044" spans="2:29" ht="56" x14ac:dyDescent="0.35">
      <c r="B1044" s="132">
        <v>20251144</v>
      </c>
      <c r="C1044" s="50" t="s">
        <v>208</v>
      </c>
      <c r="D1044" s="329" t="s">
        <v>166</v>
      </c>
      <c r="E1044" s="51" t="s">
        <v>558</v>
      </c>
      <c r="F1044" s="298" t="s">
        <v>1296</v>
      </c>
      <c r="G1044" s="298" t="s">
        <v>146</v>
      </c>
      <c r="H1044" s="134" t="s">
        <v>1297</v>
      </c>
      <c r="I1044" s="299">
        <v>10</v>
      </c>
      <c r="J1044" s="299">
        <v>0</v>
      </c>
      <c r="K1044" s="135">
        <v>2</v>
      </c>
      <c r="L1044" s="131">
        <v>76470000</v>
      </c>
      <c r="M1044" s="246" t="s">
        <v>464</v>
      </c>
      <c r="N1044" s="53" t="s">
        <v>85</v>
      </c>
      <c r="O1044" s="331" t="s">
        <v>218</v>
      </c>
      <c r="P1044" s="300" t="str">
        <f>IFERROR(VLOOKUP(C1044,TD!$B$33:$F$37,2,0)," ")</f>
        <v>O230117</v>
      </c>
      <c r="Q1044" s="300" t="str">
        <f>IFERROR(VLOOKUP(C1044,TD!$B$33:$F$37,3,0)," ")</f>
        <v>4599</v>
      </c>
      <c r="R1044" s="300">
        <f>IFERROR(VLOOKUP(C1044,TD!$B$33:$F$37,4,0)," ")</f>
        <v>20240207</v>
      </c>
      <c r="S1044" s="252" t="s">
        <v>185</v>
      </c>
      <c r="T1044" s="254" t="str">
        <f>IFERROR(VLOOKUP(S1044,TD!$J$34:$K$44,2,0)," ")</f>
        <v>Infraestructura física, mantenimiento y dotación (Sedes construidas, mantenidas reforzadas)</v>
      </c>
      <c r="U1044" s="249" t="str">
        <f>CONCATENATE(S1044,"-",T1044)</f>
        <v>08-Infraestructura física, mantenimiento y dotación (Sedes construidas, mantenidas reforzadas)</v>
      </c>
      <c r="V1044" s="252" t="s">
        <v>238</v>
      </c>
      <c r="W1044" s="254" t="str">
        <f>IFERROR(VLOOKUP(V1044,TD!$N$34:$O$46,2,0)," ")</f>
        <v>Sedes mantenidas</v>
      </c>
      <c r="X1044" s="296" t="str">
        <f>CONCATENATE(V1044,"_",W1044)</f>
        <v>016_Sedes mantenidas</v>
      </c>
      <c r="Y1044" s="296" t="str">
        <f>CONCATENATE(U1044," ",X1044)</f>
        <v>08-Infraestructura física, mantenimiento y dotación (Sedes construidas, mantenidas reforzadas) 016_Sedes mantenidas</v>
      </c>
      <c r="Z1044" s="300" t="str">
        <f>CONCATENATE(P1044,Q1044,R1044,S1044,V1044)</f>
        <v>O23011745992024020708016</v>
      </c>
      <c r="AA1044" s="300" t="str">
        <f>IFERROR(VLOOKUP(Y1044,TD!$K$47:$L$65,2,0)," ")</f>
        <v>PM/0131/0108/45990160207</v>
      </c>
      <c r="AB1044" s="131" t="s">
        <v>102</v>
      </c>
      <c r="AC1044" s="250" t="s">
        <v>205</v>
      </c>
    </row>
    <row r="1045" spans="2:29" ht="56" x14ac:dyDescent="0.35">
      <c r="B1045" s="132">
        <v>20251145</v>
      </c>
      <c r="C1045" s="233" t="s">
        <v>208</v>
      </c>
      <c r="D1045" s="329" t="s">
        <v>166</v>
      </c>
      <c r="E1045" s="51" t="s">
        <v>558</v>
      </c>
      <c r="F1045" s="298" t="s">
        <v>1298</v>
      </c>
      <c r="G1045" s="298" t="s">
        <v>140</v>
      </c>
      <c r="H1045" s="134" t="s">
        <v>1299</v>
      </c>
      <c r="I1045" s="299">
        <v>10</v>
      </c>
      <c r="J1045" s="299">
        <v>0</v>
      </c>
      <c r="K1045" s="135">
        <v>2</v>
      </c>
      <c r="L1045" s="131">
        <v>23530000</v>
      </c>
      <c r="M1045" s="329" t="s">
        <v>464</v>
      </c>
      <c r="N1045" s="53" t="s">
        <v>108</v>
      </c>
      <c r="O1045" s="331" t="s">
        <v>218</v>
      </c>
      <c r="P1045" s="300" t="str">
        <f>IFERROR(VLOOKUP(C1045,TD!$B$33:$F$37,2,0)," ")</f>
        <v>O230117</v>
      </c>
      <c r="Q1045" s="300" t="str">
        <f>IFERROR(VLOOKUP(C1045,TD!$B$33:$F$37,3,0)," ")</f>
        <v>4599</v>
      </c>
      <c r="R1045" s="300">
        <f>IFERROR(VLOOKUP(C1045,TD!$B$33:$F$37,4,0)," ")</f>
        <v>20240207</v>
      </c>
      <c r="S1045" s="252" t="s">
        <v>185</v>
      </c>
      <c r="T1045" s="254" t="str">
        <f>IFERROR(VLOOKUP(S1045,TD!$J$34:$K$44,2,0)," ")</f>
        <v>Infraestructura física, mantenimiento y dotación (Sedes construidas, mantenidas reforzadas)</v>
      </c>
      <c r="U1045" s="249" t="str">
        <f>CONCATENATE(S1045,"-",T1045)</f>
        <v>08-Infraestructura física, mantenimiento y dotación (Sedes construidas, mantenidas reforzadas)</v>
      </c>
      <c r="V1045" s="252" t="s">
        <v>238</v>
      </c>
      <c r="W1045" s="254" t="str">
        <f>IFERROR(VLOOKUP(V1045,TD!$N$34:$O$46,2,0)," ")</f>
        <v>Sedes mantenidas</v>
      </c>
      <c r="X1045" s="296" t="str">
        <f>CONCATENATE(V1045,"_",W1045)</f>
        <v>016_Sedes mantenidas</v>
      </c>
      <c r="Y1045" s="296" t="str">
        <f>CONCATENATE(U1045," ",X1045)</f>
        <v>08-Infraestructura física, mantenimiento y dotación (Sedes construidas, mantenidas reforzadas) 016_Sedes mantenidas</v>
      </c>
      <c r="Z1045" s="300" t="str">
        <f>CONCATENATE(P1045,Q1045,R1045,S1045,V1045)</f>
        <v>O23011745992024020708016</v>
      </c>
      <c r="AA1045" s="300" t="str">
        <f>IFERROR(VLOOKUP(Y1045,TD!$K$47:$L$65,2,0)," ")</f>
        <v>PM/0131/0108/45990160207</v>
      </c>
      <c r="AB1045" s="131" t="s">
        <v>102</v>
      </c>
      <c r="AC1045" s="250" t="s">
        <v>205</v>
      </c>
    </row>
    <row r="1046" spans="2:29" ht="56" x14ac:dyDescent="0.35">
      <c r="B1046" s="137">
        <v>20251146</v>
      </c>
      <c r="C1046" s="129" t="s">
        <v>346</v>
      </c>
      <c r="D1046" s="251" t="s">
        <v>166</v>
      </c>
      <c r="E1046" s="252" t="s">
        <v>558</v>
      </c>
      <c r="F1046" s="292" t="s">
        <v>1347</v>
      </c>
      <c r="G1046" s="292" t="s">
        <v>108</v>
      </c>
      <c r="H1046" s="139">
        <v>84131500</v>
      </c>
      <c r="I1046" s="293">
        <v>11</v>
      </c>
      <c r="J1046" s="293">
        <v>12</v>
      </c>
      <c r="K1046" s="140" t="s">
        <v>304</v>
      </c>
      <c r="L1046" s="141" t="s">
        <v>1300</v>
      </c>
      <c r="M1046" s="159" t="s">
        <v>406</v>
      </c>
      <c r="N1046" s="125" t="s">
        <v>108</v>
      </c>
      <c r="O1046" s="252" t="s">
        <v>347</v>
      </c>
      <c r="P1046" s="294" t="str">
        <f>IFERROR(VLOOKUP(C1046,TD!$B$33:$F$37,2,0)," ")</f>
        <v>NA</v>
      </c>
      <c r="Q1046" s="294" t="str">
        <f>IFERROR(VLOOKUP(C1046,TD!$B$33:$F$37,3,0)," ")</f>
        <v>NA</v>
      </c>
      <c r="R1046" s="294" t="str">
        <f>IFERROR(VLOOKUP(C1046,TD!$B$33:$F$37,4,0)," ")</f>
        <v>NA</v>
      </c>
      <c r="S1046" s="252" t="s">
        <v>406</v>
      </c>
      <c r="T1046" s="254" t="str">
        <f>IFERROR(VLOOKUP(S1046,TD!$J$34:$K$44,2,0)," ")</f>
        <v>N/A</v>
      </c>
      <c r="U1046" s="249" t="str">
        <f>CONCATENATE(S1046,"-",T1046)</f>
        <v>N/A-N/A</v>
      </c>
      <c r="V1046" s="252" t="s">
        <v>406</v>
      </c>
      <c r="W1046" s="254" t="str">
        <f>IFERROR(VLOOKUP(V1046,TD!$N$34:$O$46,2,0)," ")</f>
        <v>N/A</v>
      </c>
      <c r="X1046" s="296" t="str">
        <f>CONCATENATE(V1046,"_",W1046)</f>
        <v>N/A_N/A</v>
      </c>
      <c r="Y1046" s="296" t="str">
        <f>CONCATENATE(U1046," ",X1046)</f>
        <v>N/A-N/A N/A_N/A</v>
      </c>
      <c r="Z1046" s="294" t="str">
        <f>CONCATENATE(P1046,Q1046,R1046,S1046,V1046)</f>
        <v>NANANAN/AN/A</v>
      </c>
      <c r="AA1046" s="294" t="str">
        <f>IFERROR(VLOOKUP(Y1046,TD!$K$47:$L$65,2,0)," ")</f>
        <v>N/A</v>
      </c>
      <c r="AB1046" s="141" t="s">
        <v>348</v>
      </c>
      <c r="AC1046" s="255" t="s">
        <v>204</v>
      </c>
    </row>
    <row r="1047" spans="2:29" ht="56" x14ac:dyDescent="0.35">
      <c r="B1047" s="132">
        <v>20251147</v>
      </c>
      <c r="C1047" s="50" t="s">
        <v>208</v>
      </c>
      <c r="D1047" s="246" t="s">
        <v>164</v>
      </c>
      <c r="E1047" s="51" t="s">
        <v>389</v>
      </c>
      <c r="F1047" s="298" t="s">
        <v>1305</v>
      </c>
      <c r="G1047" s="298" t="s">
        <v>155</v>
      </c>
      <c r="H1047" s="134">
        <v>80111600</v>
      </c>
      <c r="I1047" s="299">
        <v>8</v>
      </c>
      <c r="J1047" s="299">
        <v>3</v>
      </c>
      <c r="K1047" s="135">
        <v>0</v>
      </c>
      <c r="L1047" s="131">
        <v>7125000</v>
      </c>
      <c r="M1047" s="136" t="s">
        <v>464</v>
      </c>
      <c r="N1047" s="53" t="s">
        <v>113</v>
      </c>
      <c r="O1047" s="51" t="s">
        <v>219</v>
      </c>
      <c r="P1047" s="300" t="str">
        <f>IFERROR(VLOOKUP(C1047,TD!$B$33:$F$37,2,0)," ")</f>
        <v>O230117</v>
      </c>
      <c r="Q1047" s="300" t="str">
        <f>IFERROR(VLOOKUP(C1047,TD!$B$33:$F$37,3,0)," ")</f>
        <v>4599</v>
      </c>
      <c r="R1047" s="300">
        <f>IFERROR(VLOOKUP(C1047,TD!$B$33:$F$37,4,0)," ")</f>
        <v>20240207</v>
      </c>
      <c r="S1047" s="252" t="s">
        <v>185</v>
      </c>
      <c r="T1047" s="254" t="str">
        <f>IFERROR(VLOOKUP(S1047,TD!$J$34:$K$44,2,0)," ")</f>
        <v>Infraestructura física, mantenimiento y dotación (Sedes construidas, mantenidas reforzadas)</v>
      </c>
      <c r="U1047" s="249" t="str">
        <f>CONCATENATE(S1047,"-",T1047)</f>
        <v>08-Infraestructura física, mantenimiento y dotación (Sedes construidas, mantenidas reforzadas)</v>
      </c>
      <c r="V1047" s="252" t="s">
        <v>238</v>
      </c>
      <c r="W1047" s="254" t="str">
        <f>IFERROR(VLOOKUP(V1047,TD!$N$34:$O$46,2,0)," ")</f>
        <v>Sedes mantenidas</v>
      </c>
      <c r="X1047" s="296" t="str">
        <f>CONCATENATE(V1047,"_",W1047)</f>
        <v>016_Sedes mantenidas</v>
      </c>
      <c r="Y1047" s="296" t="str">
        <f>CONCATENATE(U1047," ",X1047)</f>
        <v>08-Infraestructura física, mantenimiento y dotación (Sedes construidas, mantenidas reforzadas) 016_Sedes mantenidas</v>
      </c>
      <c r="Z1047" s="300" t="str">
        <f>CONCATENATE(P1047,Q1047,R1047,S1047,V1047)</f>
        <v>O23011745992024020708016</v>
      </c>
      <c r="AA1047" s="300" t="str">
        <f>IFERROR(VLOOKUP(Y1047,TD!$K$47:$L$65,2,0)," ")</f>
        <v>PM/0131/0108/45990160207</v>
      </c>
      <c r="AB1047" s="131" t="s">
        <v>138</v>
      </c>
      <c r="AC1047" s="250" t="s">
        <v>205</v>
      </c>
    </row>
    <row r="1048" spans="2:29" ht="56" x14ac:dyDescent="0.35">
      <c r="B1048" s="132">
        <v>20251148</v>
      </c>
      <c r="C1048" s="50" t="s">
        <v>208</v>
      </c>
      <c r="D1048" s="246" t="s">
        <v>164</v>
      </c>
      <c r="E1048" s="51" t="s">
        <v>389</v>
      </c>
      <c r="F1048" s="298" t="s">
        <v>1306</v>
      </c>
      <c r="G1048" s="298" t="s">
        <v>155</v>
      </c>
      <c r="H1048" s="134">
        <v>80111600</v>
      </c>
      <c r="I1048" s="299">
        <v>8</v>
      </c>
      <c r="J1048" s="299">
        <v>3</v>
      </c>
      <c r="K1048" s="135">
        <v>0</v>
      </c>
      <c r="L1048" s="131">
        <v>8350000</v>
      </c>
      <c r="M1048" s="136" t="s">
        <v>464</v>
      </c>
      <c r="N1048" s="53" t="s">
        <v>113</v>
      </c>
      <c r="O1048" s="51" t="s">
        <v>219</v>
      </c>
      <c r="P1048" s="300" t="str">
        <f>IFERROR(VLOOKUP(C1048,TD!$B$33:$F$37,2,0)," ")</f>
        <v>O230117</v>
      </c>
      <c r="Q1048" s="300" t="str">
        <f>IFERROR(VLOOKUP(C1048,TD!$B$33:$F$37,3,0)," ")</f>
        <v>4599</v>
      </c>
      <c r="R1048" s="300">
        <f>IFERROR(VLOOKUP(C1048,TD!$B$33:$F$37,4,0)," ")</f>
        <v>20240207</v>
      </c>
      <c r="S1048" s="252" t="s">
        <v>185</v>
      </c>
      <c r="T1048" s="254" t="str">
        <f>IFERROR(VLOOKUP(S1048,TD!$J$34:$K$44,2,0)," ")</f>
        <v>Infraestructura física, mantenimiento y dotación (Sedes construidas, mantenidas reforzadas)</v>
      </c>
      <c r="U1048" s="249" t="str">
        <f>CONCATENATE(S1048,"-",T1048)</f>
        <v>08-Infraestructura física, mantenimiento y dotación (Sedes construidas, mantenidas reforzadas)</v>
      </c>
      <c r="V1048" s="252" t="s">
        <v>238</v>
      </c>
      <c r="W1048" s="254" t="str">
        <f>IFERROR(VLOOKUP(V1048,TD!$N$34:$O$46,2,0)," ")</f>
        <v>Sedes mantenidas</v>
      </c>
      <c r="X1048" s="296" t="str">
        <f>CONCATENATE(V1048,"_",W1048)</f>
        <v>016_Sedes mantenidas</v>
      </c>
      <c r="Y1048" s="296" t="str">
        <f>CONCATENATE(U1048," ",X1048)</f>
        <v>08-Infraestructura física, mantenimiento y dotación (Sedes construidas, mantenidas reforzadas) 016_Sedes mantenidas</v>
      </c>
      <c r="Z1048" s="300" t="str">
        <f>CONCATENATE(P1048,Q1048,R1048,S1048,V1048)</f>
        <v>O23011745992024020708016</v>
      </c>
      <c r="AA1048" s="300" t="str">
        <f>IFERROR(VLOOKUP(Y1048,TD!$K$47:$L$65,2,0)," ")</f>
        <v>PM/0131/0108/45990160207</v>
      </c>
      <c r="AB1048" s="131" t="s">
        <v>138</v>
      </c>
      <c r="AC1048" s="250" t="s">
        <v>205</v>
      </c>
    </row>
    <row r="1049" spans="2:29" ht="70" x14ac:dyDescent="0.35">
      <c r="B1049" s="132">
        <v>20251149</v>
      </c>
      <c r="C1049" s="50" t="s">
        <v>208</v>
      </c>
      <c r="D1049" s="246" t="s">
        <v>164</v>
      </c>
      <c r="E1049" s="51" t="s">
        <v>389</v>
      </c>
      <c r="F1049" s="298" t="s">
        <v>460</v>
      </c>
      <c r="G1049" s="298" t="s">
        <v>155</v>
      </c>
      <c r="H1049" s="134">
        <v>80111600</v>
      </c>
      <c r="I1049" s="299">
        <v>8</v>
      </c>
      <c r="J1049" s="299">
        <v>3</v>
      </c>
      <c r="K1049" s="135">
        <v>0</v>
      </c>
      <c r="L1049" s="131">
        <f>9750000+651000</f>
        <v>10401000</v>
      </c>
      <c r="M1049" s="136" t="s">
        <v>464</v>
      </c>
      <c r="N1049" s="53" t="s">
        <v>113</v>
      </c>
      <c r="O1049" s="51" t="s">
        <v>219</v>
      </c>
      <c r="P1049" s="300" t="str">
        <f>IFERROR(VLOOKUP(C1049,TD!$B$33:$F$37,2,0)," ")</f>
        <v>O230117</v>
      </c>
      <c r="Q1049" s="300" t="str">
        <f>IFERROR(VLOOKUP(C1049,TD!$B$33:$F$37,3,0)," ")</f>
        <v>4599</v>
      </c>
      <c r="R1049" s="300">
        <f>IFERROR(VLOOKUP(C1049,TD!$B$33:$F$37,4,0)," ")</f>
        <v>20240207</v>
      </c>
      <c r="S1049" s="252" t="s">
        <v>185</v>
      </c>
      <c r="T1049" s="254" t="str">
        <f>IFERROR(VLOOKUP(S1049,TD!$J$34:$K$44,2,0)," ")</f>
        <v>Infraestructura física, mantenimiento y dotación (Sedes construidas, mantenidas reforzadas)</v>
      </c>
      <c r="U1049" s="249" t="str">
        <f>CONCATENATE(S1049,"-",T1049)</f>
        <v>08-Infraestructura física, mantenimiento y dotación (Sedes construidas, mantenidas reforzadas)</v>
      </c>
      <c r="V1049" s="252" t="s">
        <v>238</v>
      </c>
      <c r="W1049" s="254" t="str">
        <f>IFERROR(VLOOKUP(V1049,TD!$N$34:$O$46,2,0)," ")</f>
        <v>Sedes mantenidas</v>
      </c>
      <c r="X1049" s="296" t="str">
        <f>CONCATENATE(V1049,"_",W1049)</f>
        <v>016_Sedes mantenidas</v>
      </c>
      <c r="Y1049" s="296" t="str">
        <f>CONCATENATE(U1049," ",X1049)</f>
        <v>08-Infraestructura física, mantenimiento y dotación (Sedes construidas, mantenidas reforzadas) 016_Sedes mantenidas</v>
      </c>
      <c r="Z1049" s="300" t="str">
        <f>CONCATENATE(P1049,Q1049,R1049,S1049,V1049)</f>
        <v>O23011745992024020708016</v>
      </c>
      <c r="AA1049" s="300" t="str">
        <f>IFERROR(VLOOKUP(Y1049,TD!$K$47:$L$65,2,0)," ")</f>
        <v>PM/0131/0108/45990160207</v>
      </c>
      <c r="AB1049" s="131" t="s">
        <v>120</v>
      </c>
      <c r="AC1049" s="250" t="s">
        <v>205</v>
      </c>
    </row>
    <row r="1050" spans="2:29" ht="70" x14ac:dyDescent="0.35">
      <c r="B1050" s="132">
        <v>20251150</v>
      </c>
      <c r="C1050" s="50" t="s">
        <v>208</v>
      </c>
      <c r="D1050" s="246" t="s">
        <v>164</v>
      </c>
      <c r="E1050" s="51" t="s">
        <v>389</v>
      </c>
      <c r="F1050" s="298" t="s">
        <v>799</v>
      </c>
      <c r="G1050" s="298" t="s">
        <v>155</v>
      </c>
      <c r="H1050" s="134">
        <v>80111600</v>
      </c>
      <c r="I1050" s="299">
        <v>8</v>
      </c>
      <c r="J1050" s="299">
        <v>5</v>
      </c>
      <c r="K1050" s="135">
        <v>0</v>
      </c>
      <c r="L1050" s="131">
        <v>33000000</v>
      </c>
      <c r="M1050" s="136" t="s">
        <v>464</v>
      </c>
      <c r="N1050" s="53" t="s">
        <v>113</v>
      </c>
      <c r="O1050" s="51" t="s">
        <v>219</v>
      </c>
      <c r="P1050" s="300" t="str">
        <f>IFERROR(VLOOKUP(C1050,TD!$B$33:$F$37,2,0)," ")</f>
        <v>O230117</v>
      </c>
      <c r="Q1050" s="300" t="str">
        <f>IFERROR(VLOOKUP(C1050,TD!$B$33:$F$37,3,0)," ")</f>
        <v>4599</v>
      </c>
      <c r="R1050" s="300">
        <f>IFERROR(VLOOKUP(C1050,TD!$B$33:$F$37,4,0)," ")</f>
        <v>20240207</v>
      </c>
      <c r="S1050" s="252" t="s">
        <v>185</v>
      </c>
      <c r="T1050" s="254" t="str">
        <f>IFERROR(VLOOKUP(S1050,TD!$J$34:$K$44,2,0)," ")</f>
        <v>Infraestructura física, mantenimiento y dotación (Sedes construidas, mantenidas reforzadas)</v>
      </c>
      <c r="U1050" s="249" t="str">
        <f>CONCATENATE(S1050,"-",T1050)</f>
        <v>08-Infraestructura física, mantenimiento y dotación (Sedes construidas, mantenidas reforzadas)</v>
      </c>
      <c r="V1050" s="252" t="s">
        <v>238</v>
      </c>
      <c r="W1050" s="254" t="str">
        <f>IFERROR(VLOOKUP(V1050,TD!$N$34:$O$46,2,0)," ")</f>
        <v>Sedes mantenidas</v>
      </c>
      <c r="X1050" s="296" t="str">
        <f>CONCATENATE(V1050,"_",W1050)</f>
        <v>016_Sedes mantenidas</v>
      </c>
      <c r="Y1050" s="296" t="str">
        <f>CONCATENATE(U1050," ",X1050)</f>
        <v>08-Infraestructura física, mantenimiento y dotación (Sedes construidas, mantenidas reforzadas) 016_Sedes mantenidas</v>
      </c>
      <c r="Z1050" s="300" t="str">
        <f>CONCATENATE(P1050,Q1050,R1050,S1050,V1050)</f>
        <v>O23011745992024020708016</v>
      </c>
      <c r="AA1050" s="300" t="str">
        <f>IFERROR(VLOOKUP(Y1050,TD!$K$47:$L$65,2,0)," ")</f>
        <v>PM/0131/0108/45990160207</v>
      </c>
      <c r="AB1050" s="131" t="s">
        <v>120</v>
      </c>
      <c r="AC1050" s="250" t="s">
        <v>204</v>
      </c>
    </row>
    <row r="1051" spans="2:29" ht="70" x14ac:dyDescent="0.35">
      <c r="B1051" s="132">
        <v>20251151</v>
      </c>
      <c r="C1051" s="50" t="s">
        <v>208</v>
      </c>
      <c r="D1051" s="246" t="s">
        <v>164</v>
      </c>
      <c r="E1051" s="51" t="s">
        <v>389</v>
      </c>
      <c r="F1051" s="298" t="s">
        <v>1307</v>
      </c>
      <c r="G1051" s="298" t="s">
        <v>156</v>
      </c>
      <c r="H1051" s="134">
        <v>80111600</v>
      </c>
      <c r="I1051" s="299">
        <v>8</v>
      </c>
      <c r="J1051" s="299">
        <v>3</v>
      </c>
      <c r="K1051" s="135">
        <v>0</v>
      </c>
      <c r="L1051" s="131">
        <v>5100000</v>
      </c>
      <c r="M1051" s="136" t="s">
        <v>464</v>
      </c>
      <c r="N1051" s="53" t="s">
        <v>113</v>
      </c>
      <c r="O1051" s="51" t="s">
        <v>219</v>
      </c>
      <c r="P1051" s="300" t="str">
        <f>IFERROR(VLOOKUP(C1051,TD!$B$33:$F$37,2,0)," ")</f>
        <v>O230117</v>
      </c>
      <c r="Q1051" s="300" t="str">
        <f>IFERROR(VLOOKUP(C1051,TD!$B$33:$F$37,3,0)," ")</f>
        <v>4599</v>
      </c>
      <c r="R1051" s="300">
        <f>IFERROR(VLOOKUP(C1051,TD!$B$33:$F$37,4,0)," ")</f>
        <v>20240207</v>
      </c>
      <c r="S1051" s="252" t="s">
        <v>185</v>
      </c>
      <c r="T1051" s="254" t="str">
        <f>IFERROR(VLOOKUP(S1051,TD!$J$34:$K$44,2,0)," ")</f>
        <v>Infraestructura física, mantenimiento y dotación (Sedes construidas, mantenidas reforzadas)</v>
      </c>
      <c r="U1051" s="249" t="str">
        <f>CONCATENATE(S1051,"-",T1051)</f>
        <v>08-Infraestructura física, mantenimiento y dotación (Sedes construidas, mantenidas reforzadas)</v>
      </c>
      <c r="V1051" s="252" t="s">
        <v>238</v>
      </c>
      <c r="W1051" s="254" t="str">
        <f>IFERROR(VLOOKUP(V1051,TD!$N$34:$O$46,2,0)," ")</f>
        <v>Sedes mantenidas</v>
      </c>
      <c r="X1051" s="296" t="str">
        <f>CONCATENATE(V1051,"_",W1051)</f>
        <v>016_Sedes mantenidas</v>
      </c>
      <c r="Y1051" s="296" t="str">
        <f>CONCATENATE(U1051," ",X1051)</f>
        <v>08-Infraestructura física, mantenimiento y dotación (Sedes construidas, mantenidas reforzadas) 016_Sedes mantenidas</v>
      </c>
      <c r="Z1051" s="300" t="str">
        <f>CONCATENATE(P1051,Q1051,R1051,S1051,V1051)</f>
        <v>O23011745992024020708016</v>
      </c>
      <c r="AA1051" s="300" t="str">
        <f>IFERROR(VLOOKUP(Y1051,TD!$K$47:$L$65,2,0)," ")</f>
        <v>PM/0131/0108/45990160207</v>
      </c>
      <c r="AB1051" s="131" t="s">
        <v>138</v>
      </c>
      <c r="AC1051" s="250" t="s">
        <v>205</v>
      </c>
    </row>
    <row r="1052" spans="2:29" ht="56" x14ac:dyDescent="0.35">
      <c r="B1052" s="132">
        <v>20251152</v>
      </c>
      <c r="C1052" s="50" t="s">
        <v>208</v>
      </c>
      <c r="D1052" s="246" t="s">
        <v>164</v>
      </c>
      <c r="E1052" s="51" t="s">
        <v>389</v>
      </c>
      <c r="F1052" s="298" t="s">
        <v>1308</v>
      </c>
      <c r="G1052" s="298" t="s">
        <v>156</v>
      </c>
      <c r="H1052" s="134">
        <v>80111600</v>
      </c>
      <c r="I1052" s="299">
        <v>8</v>
      </c>
      <c r="J1052" s="299">
        <v>3</v>
      </c>
      <c r="K1052" s="135">
        <v>0</v>
      </c>
      <c r="L1052" s="131">
        <v>5100000</v>
      </c>
      <c r="M1052" s="136" t="s">
        <v>464</v>
      </c>
      <c r="N1052" s="53" t="s">
        <v>113</v>
      </c>
      <c r="O1052" s="51" t="s">
        <v>219</v>
      </c>
      <c r="P1052" s="300" t="str">
        <f>IFERROR(VLOOKUP(C1052,TD!$B$33:$F$37,2,0)," ")</f>
        <v>O230117</v>
      </c>
      <c r="Q1052" s="300" t="str">
        <f>IFERROR(VLOOKUP(C1052,TD!$B$33:$F$37,3,0)," ")</f>
        <v>4599</v>
      </c>
      <c r="R1052" s="300">
        <f>IFERROR(VLOOKUP(C1052,TD!$B$33:$F$37,4,0)," ")</f>
        <v>20240207</v>
      </c>
      <c r="S1052" s="252" t="s">
        <v>185</v>
      </c>
      <c r="T1052" s="254" t="str">
        <f>IFERROR(VLOOKUP(S1052,TD!$J$34:$K$44,2,0)," ")</f>
        <v>Infraestructura física, mantenimiento y dotación (Sedes construidas, mantenidas reforzadas)</v>
      </c>
      <c r="U1052" s="249" t="str">
        <f>CONCATENATE(S1052,"-",T1052)</f>
        <v>08-Infraestructura física, mantenimiento y dotación (Sedes construidas, mantenidas reforzadas)</v>
      </c>
      <c r="V1052" s="252" t="s">
        <v>238</v>
      </c>
      <c r="W1052" s="254" t="str">
        <f>IFERROR(VLOOKUP(V1052,TD!$N$34:$O$46,2,0)," ")</f>
        <v>Sedes mantenidas</v>
      </c>
      <c r="X1052" s="296" t="str">
        <f>CONCATENATE(V1052,"_",W1052)</f>
        <v>016_Sedes mantenidas</v>
      </c>
      <c r="Y1052" s="296" t="str">
        <f>CONCATENATE(U1052," ",X1052)</f>
        <v>08-Infraestructura física, mantenimiento y dotación (Sedes construidas, mantenidas reforzadas) 016_Sedes mantenidas</v>
      </c>
      <c r="Z1052" s="300" t="str">
        <f>CONCATENATE(P1052,Q1052,R1052,S1052,V1052)</f>
        <v>O23011745992024020708016</v>
      </c>
      <c r="AA1052" s="300" t="str">
        <f>IFERROR(VLOOKUP(Y1052,TD!$K$47:$L$65,2,0)," ")</f>
        <v>PM/0131/0108/45990160207</v>
      </c>
      <c r="AB1052" s="131" t="s">
        <v>138</v>
      </c>
      <c r="AC1052" s="250" t="s">
        <v>205</v>
      </c>
    </row>
    <row r="1053" spans="2:29" ht="56" x14ac:dyDescent="0.35">
      <c r="B1053" s="132">
        <v>20251153</v>
      </c>
      <c r="C1053" s="50" t="s">
        <v>208</v>
      </c>
      <c r="D1053" s="246" t="s">
        <v>164</v>
      </c>
      <c r="E1053" s="51" t="s">
        <v>389</v>
      </c>
      <c r="F1053" s="298" t="s">
        <v>1309</v>
      </c>
      <c r="G1053" s="298" t="s">
        <v>156</v>
      </c>
      <c r="H1053" s="134">
        <v>80111600</v>
      </c>
      <c r="I1053" s="299">
        <v>8</v>
      </c>
      <c r="J1053" s="299">
        <v>3</v>
      </c>
      <c r="K1053" s="135">
        <v>0</v>
      </c>
      <c r="L1053" s="131">
        <v>5667000</v>
      </c>
      <c r="M1053" s="136" t="s">
        <v>464</v>
      </c>
      <c r="N1053" s="53" t="s">
        <v>113</v>
      </c>
      <c r="O1053" s="51" t="s">
        <v>219</v>
      </c>
      <c r="P1053" s="300" t="str">
        <f>IFERROR(VLOOKUP(C1053,TD!$B$33:$F$37,2,0)," ")</f>
        <v>O230117</v>
      </c>
      <c r="Q1053" s="300" t="str">
        <f>IFERROR(VLOOKUP(C1053,TD!$B$33:$F$37,3,0)," ")</f>
        <v>4599</v>
      </c>
      <c r="R1053" s="300">
        <f>IFERROR(VLOOKUP(C1053,TD!$B$33:$F$37,4,0)," ")</f>
        <v>20240207</v>
      </c>
      <c r="S1053" s="252" t="s">
        <v>185</v>
      </c>
      <c r="T1053" s="254" t="str">
        <f>IFERROR(VLOOKUP(S1053,TD!$J$34:$K$44,2,0)," ")</f>
        <v>Infraestructura física, mantenimiento y dotación (Sedes construidas, mantenidas reforzadas)</v>
      </c>
      <c r="U1053" s="249" t="str">
        <f>CONCATENATE(S1053,"-",T1053)</f>
        <v>08-Infraestructura física, mantenimiento y dotación (Sedes construidas, mantenidas reforzadas)</v>
      </c>
      <c r="V1053" s="252" t="s">
        <v>238</v>
      </c>
      <c r="W1053" s="254" t="str">
        <f>IFERROR(VLOOKUP(V1053,TD!$N$34:$O$46,2,0)," ")</f>
        <v>Sedes mantenidas</v>
      </c>
      <c r="X1053" s="296" t="str">
        <f>CONCATENATE(V1053,"_",W1053)</f>
        <v>016_Sedes mantenidas</v>
      </c>
      <c r="Y1053" s="296" t="str">
        <f>CONCATENATE(U1053," ",X1053)</f>
        <v>08-Infraestructura física, mantenimiento y dotación (Sedes construidas, mantenidas reforzadas) 016_Sedes mantenidas</v>
      </c>
      <c r="Z1053" s="300" t="str">
        <f>CONCATENATE(P1053,Q1053,R1053,S1053,V1053)</f>
        <v>O23011745992024020708016</v>
      </c>
      <c r="AA1053" s="300" t="str">
        <f>IFERROR(VLOOKUP(Y1053,TD!$K$47:$L$65,2,0)," ")</f>
        <v>PM/0131/0108/45990160207</v>
      </c>
      <c r="AB1053" s="131" t="s">
        <v>138</v>
      </c>
      <c r="AC1053" s="250" t="s">
        <v>205</v>
      </c>
    </row>
    <row r="1054" spans="2:29" ht="70" x14ac:dyDescent="0.35">
      <c r="B1054" s="132">
        <v>20251154</v>
      </c>
      <c r="C1054" s="133" t="s">
        <v>208</v>
      </c>
      <c r="D1054" s="298" t="s">
        <v>164</v>
      </c>
      <c r="E1054" s="302" t="s">
        <v>389</v>
      </c>
      <c r="F1054" s="298" t="s">
        <v>1310</v>
      </c>
      <c r="G1054" s="298" t="s">
        <v>155</v>
      </c>
      <c r="H1054" s="134">
        <v>80111600</v>
      </c>
      <c r="I1054" s="299">
        <v>8</v>
      </c>
      <c r="J1054" s="299">
        <v>5</v>
      </c>
      <c r="K1054" s="135">
        <v>0</v>
      </c>
      <c r="L1054" s="131">
        <v>9750000</v>
      </c>
      <c r="M1054" s="142" t="s">
        <v>464</v>
      </c>
      <c r="N1054" s="131" t="s">
        <v>113</v>
      </c>
      <c r="O1054" s="51" t="s">
        <v>219</v>
      </c>
      <c r="P1054" s="300" t="str">
        <f>IFERROR(VLOOKUP(C1054,TD!$B$33:$F$37,2,0)," ")</f>
        <v>O230117</v>
      </c>
      <c r="Q1054" s="300" t="str">
        <f>IFERROR(VLOOKUP(C1054,TD!$B$33:$F$37,3,0)," ")</f>
        <v>4599</v>
      </c>
      <c r="R1054" s="300">
        <f>IFERROR(VLOOKUP(C1054,TD!$B$33:$F$37,4,0)," ")</f>
        <v>20240207</v>
      </c>
      <c r="S1054" s="252" t="s">
        <v>185</v>
      </c>
      <c r="T1054" s="254" t="str">
        <f>IFERROR(VLOOKUP(S1054,TD!$J$34:$K$44,2,0)," ")</f>
        <v>Infraestructura física, mantenimiento y dotación (Sedes construidas, mantenidas reforzadas)</v>
      </c>
      <c r="U1054" s="249" t="str">
        <f>CONCATENATE(S1054,"-",T1054)</f>
        <v>08-Infraestructura física, mantenimiento y dotación (Sedes construidas, mantenidas reforzadas)</v>
      </c>
      <c r="V1054" s="252" t="s">
        <v>238</v>
      </c>
      <c r="W1054" s="254" t="str">
        <f>IFERROR(VLOOKUP(V1054,TD!$N$34:$O$46,2,0)," ")</f>
        <v>Sedes mantenidas</v>
      </c>
      <c r="X1054" s="296" t="str">
        <f>CONCATENATE(V1054,"_",W1054)</f>
        <v>016_Sedes mantenidas</v>
      </c>
      <c r="Y1054" s="296" t="str">
        <f>CONCATENATE(U1054," ",X1054)</f>
        <v>08-Infraestructura física, mantenimiento y dotación (Sedes construidas, mantenidas reforzadas) 016_Sedes mantenidas</v>
      </c>
      <c r="Z1054" s="300" t="str">
        <f>CONCATENATE(P1054,Q1054,R1054,S1054,V1054)</f>
        <v>O23011745992024020708016</v>
      </c>
      <c r="AA1054" s="300" t="str">
        <f>IFERROR(VLOOKUP(Y1054,TD!$K$47:$L$65,2,0)," ")</f>
        <v>PM/0131/0108/45990160207</v>
      </c>
      <c r="AB1054" s="131" t="s">
        <v>120</v>
      </c>
      <c r="AC1054" s="301" t="s">
        <v>205</v>
      </c>
    </row>
    <row r="1055" spans="2:29" ht="84" x14ac:dyDescent="0.35">
      <c r="B1055" s="132">
        <v>20251155</v>
      </c>
      <c r="C1055" s="133" t="s">
        <v>208</v>
      </c>
      <c r="D1055" s="298" t="s">
        <v>164</v>
      </c>
      <c r="E1055" s="302" t="s">
        <v>389</v>
      </c>
      <c r="F1055" s="298" t="s">
        <v>1311</v>
      </c>
      <c r="G1055" s="298" t="s">
        <v>155</v>
      </c>
      <c r="H1055" s="134">
        <v>80111600</v>
      </c>
      <c r="I1055" s="299">
        <v>8</v>
      </c>
      <c r="J1055" s="299">
        <v>5</v>
      </c>
      <c r="K1055" s="135">
        <v>0</v>
      </c>
      <c r="L1055" s="131">
        <v>11250000</v>
      </c>
      <c r="M1055" s="142" t="s">
        <v>464</v>
      </c>
      <c r="N1055" s="131" t="s">
        <v>113</v>
      </c>
      <c r="O1055" s="51" t="s">
        <v>219</v>
      </c>
      <c r="P1055" s="300" t="str">
        <f>IFERROR(VLOOKUP(C1055,TD!$B$33:$F$37,2,0)," ")</f>
        <v>O230117</v>
      </c>
      <c r="Q1055" s="300" t="str">
        <f>IFERROR(VLOOKUP(C1055,TD!$B$33:$F$37,3,0)," ")</f>
        <v>4599</v>
      </c>
      <c r="R1055" s="300">
        <f>IFERROR(VLOOKUP(C1055,TD!$B$33:$F$37,4,0)," ")</f>
        <v>20240207</v>
      </c>
      <c r="S1055" s="252" t="s">
        <v>185</v>
      </c>
      <c r="T1055" s="254" t="str">
        <f>IFERROR(VLOOKUP(S1055,TD!$J$34:$K$44,2,0)," ")</f>
        <v>Infraestructura física, mantenimiento y dotación (Sedes construidas, mantenidas reforzadas)</v>
      </c>
      <c r="U1055" s="249" t="str">
        <f>CONCATENATE(S1055,"-",T1055)</f>
        <v>08-Infraestructura física, mantenimiento y dotación (Sedes construidas, mantenidas reforzadas)</v>
      </c>
      <c r="V1055" s="252" t="s">
        <v>238</v>
      </c>
      <c r="W1055" s="254" t="str">
        <f>IFERROR(VLOOKUP(V1055,TD!$N$34:$O$46,2,0)," ")</f>
        <v>Sedes mantenidas</v>
      </c>
      <c r="X1055" s="296" t="str">
        <f>CONCATENATE(V1055,"_",W1055)</f>
        <v>016_Sedes mantenidas</v>
      </c>
      <c r="Y1055" s="296" t="str">
        <f>CONCATENATE(U1055," ",X1055)</f>
        <v>08-Infraestructura física, mantenimiento y dotación (Sedes construidas, mantenidas reforzadas) 016_Sedes mantenidas</v>
      </c>
      <c r="Z1055" s="300" t="str">
        <f>CONCATENATE(P1055,Q1055,R1055,S1055,V1055)</f>
        <v>O23011745992024020708016</v>
      </c>
      <c r="AA1055" s="300" t="str">
        <f>IFERROR(VLOOKUP(Y1055,TD!$K$47:$L$65,2,0)," ")</f>
        <v>PM/0131/0108/45990160207</v>
      </c>
      <c r="AB1055" s="131" t="s">
        <v>120</v>
      </c>
      <c r="AC1055" s="301" t="s">
        <v>205</v>
      </c>
    </row>
    <row r="1056" spans="2:29" ht="56" x14ac:dyDescent="0.35">
      <c r="B1056" s="132">
        <v>20251156</v>
      </c>
      <c r="C1056" s="133" t="s">
        <v>208</v>
      </c>
      <c r="D1056" s="298" t="s">
        <v>164</v>
      </c>
      <c r="E1056" s="51" t="s">
        <v>389</v>
      </c>
      <c r="F1056" s="298" t="s">
        <v>1312</v>
      </c>
      <c r="G1056" s="298" t="s">
        <v>155</v>
      </c>
      <c r="H1056" s="134">
        <v>80111600</v>
      </c>
      <c r="I1056" s="299">
        <v>8</v>
      </c>
      <c r="J1056" s="299">
        <v>5</v>
      </c>
      <c r="K1056" s="135">
        <v>0</v>
      </c>
      <c r="L1056" s="131">
        <v>4750000</v>
      </c>
      <c r="M1056" s="142" t="s">
        <v>464</v>
      </c>
      <c r="N1056" s="131" t="s">
        <v>113</v>
      </c>
      <c r="O1056" s="302" t="s">
        <v>219</v>
      </c>
      <c r="P1056" s="300" t="str">
        <f>IFERROR(VLOOKUP(C1056,TD!$B$33:$F$37,2,0)," ")</f>
        <v>O230117</v>
      </c>
      <c r="Q1056" s="300" t="str">
        <f>IFERROR(VLOOKUP(C1056,TD!$B$33:$F$37,3,0)," ")</f>
        <v>4599</v>
      </c>
      <c r="R1056" s="300">
        <f>IFERROR(VLOOKUP(C1056,TD!$B$33:$F$37,4,0)," ")</f>
        <v>20240207</v>
      </c>
      <c r="S1056" s="252" t="s">
        <v>185</v>
      </c>
      <c r="T1056" s="254" t="str">
        <f>IFERROR(VLOOKUP(S1056,TD!$J$34:$K$44,2,0)," ")</f>
        <v>Infraestructura física, mantenimiento y dotación (Sedes construidas, mantenidas reforzadas)</v>
      </c>
      <c r="U1056" s="249" t="str">
        <f>CONCATENATE(S1056,"-",T1056)</f>
        <v>08-Infraestructura física, mantenimiento y dotación (Sedes construidas, mantenidas reforzadas)</v>
      </c>
      <c r="V1056" s="252" t="s">
        <v>238</v>
      </c>
      <c r="W1056" s="254" t="str">
        <f>IFERROR(VLOOKUP(V1056,TD!$N$34:$O$46,2,0)," ")</f>
        <v>Sedes mantenidas</v>
      </c>
      <c r="X1056" s="296" t="str">
        <f>CONCATENATE(V1056,"_",W1056)</f>
        <v>016_Sedes mantenidas</v>
      </c>
      <c r="Y1056" s="296" t="str">
        <f>CONCATENATE(U1056," ",X1056)</f>
        <v>08-Infraestructura física, mantenimiento y dotación (Sedes construidas, mantenidas reforzadas) 016_Sedes mantenidas</v>
      </c>
      <c r="Z1056" s="300" t="str">
        <f>CONCATENATE(P1056,Q1056,R1056,S1056,V1056)</f>
        <v>O23011745992024020708016</v>
      </c>
      <c r="AA1056" s="300" t="str">
        <f>IFERROR(VLOOKUP(Y1056,TD!$K$47:$L$65,2,0)," ")</f>
        <v>PM/0131/0108/45990160207</v>
      </c>
      <c r="AB1056" s="131" t="s">
        <v>120</v>
      </c>
      <c r="AC1056" s="301" t="s">
        <v>205</v>
      </c>
    </row>
    <row r="1057" spans="2:29" ht="56" x14ac:dyDescent="0.35">
      <c r="B1057" s="132">
        <v>20251157</v>
      </c>
      <c r="C1057" s="133" t="s">
        <v>208</v>
      </c>
      <c r="D1057" s="298" t="s">
        <v>164</v>
      </c>
      <c r="E1057" s="51" t="s">
        <v>389</v>
      </c>
      <c r="F1057" s="298" t="s">
        <v>1313</v>
      </c>
      <c r="G1057" s="298" t="s">
        <v>155</v>
      </c>
      <c r="H1057" s="134">
        <v>80111600</v>
      </c>
      <c r="I1057" s="299">
        <v>8</v>
      </c>
      <c r="J1057" s="299">
        <v>5</v>
      </c>
      <c r="K1057" s="135">
        <v>0</v>
      </c>
      <c r="L1057" s="131">
        <v>15750000</v>
      </c>
      <c r="M1057" s="142" t="s">
        <v>464</v>
      </c>
      <c r="N1057" s="131" t="s">
        <v>113</v>
      </c>
      <c r="O1057" s="302" t="s">
        <v>219</v>
      </c>
      <c r="P1057" s="300" t="str">
        <f>IFERROR(VLOOKUP(C1057,TD!$B$33:$F$37,2,0)," ")</f>
        <v>O230117</v>
      </c>
      <c r="Q1057" s="300" t="str">
        <f>IFERROR(VLOOKUP(C1057,TD!$B$33:$F$37,3,0)," ")</f>
        <v>4599</v>
      </c>
      <c r="R1057" s="300">
        <f>IFERROR(VLOOKUP(C1057,TD!$B$33:$F$37,4,0)," ")</f>
        <v>20240207</v>
      </c>
      <c r="S1057" s="252" t="s">
        <v>185</v>
      </c>
      <c r="T1057" s="254" t="str">
        <f>IFERROR(VLOOKUP(S1057,TD!$J$34:$K$44,2,0)," ")</f>
        <v>Infraestructura física, mantenimiento y dotación (Sedes construidas, mantenidas reforzadas)</v>
      </c>
      <c r="U1057" s="249" t="str">
        <f>CONCATENATE(S1057,"-",T1057)</f>
        <v>08-Infraestructura física, mantenimiento y dotación (Sedes construidas, mantenidas reforzadas)</v>
      </c>
      <c r="V1057" s="252" t="s">
        <v>238</v>
      </c>
      <c r="W1057" s="254" t="str">
        <f>IFERROR(VLOOKUP(V1057,TD!$N$34:$O$46,2,0)," ")</f>
        <v>Sedes mantenidas</v>
      </c>
      <c r="X1057" s="296" t="str">
        <f>CONCATENATE(V1057,"_",W1057)</f>
        <v>016_Sedes mantenidas</v>
      </c>
      <c r="Y1057" s="296" t="str">
        <f>CONCATENATE(U1057," ",X1057)</f>
        <v>08-Infraestructura física, mantenimiento y dotación (Sedes construidas, mantenidas reforzadas) 016_Sedes mantenidas</v>
      </c>
      <c r="Z1057" s="300" t="str">
        <f>CONCATENATE(P1057,Q1057,R1057,S1057,V1057)</f>
        <v>O23011745992024020708016</v>
      </c>
      <c r="AA1057" s="300" t="str">
        <f>IFERROR(VLOOKUP(Y1057,TD!$K$47:$L$65,2,0)," ")</f>
        <v>PM/0131/0108/45990160207</v>
      </c>
      <c r="AB1057" s="131" t="s">
        <v>120</v>
      </c>
      <c r="AC1057" s="301" t="s">
        <v>205</v>
      </c>
    </row>
    <row r="1058" spans="2:29" ht="56" x14ac:dyDescent="0.35">
      <c r="B1058" s="132">
        <v>20251158</v>
      </c>
      <c r="C1058" s="133" t="s">
        <v>208</v>
      </c>
      <c r="D1058" s="298" t="s">
        <v>164</v>
      </c>
      <c r="E1058" s="51" t="s">
        <v>389</v>
      </c>
      <c r="F1058" s="298" t="s">
        <v>1314</v>
      </c>
      <c r="G1058" s="298" t="s">
        <v>155</v>
      </c>
      <c r="H1058" s="134">
        <v>80111600</v>
      </c>
      <c r="I1058" s="299">
        <v>5</v>
      </c>
      <c r="J1058" s="299">
        <v>5</v>
      </c>
      <c r="K1058" s="135">
        <v>0</v>
      </c>
      <c r="L1058" s="131">
        <v>9750000</v>
      </c>
      <c r="M1058" s="142" t="s">
        <v>464</v>
      </c>
      <c r="N1058" s="131" t="s">
        <v>113</v>
      </c>
      <c r="O1058" s="302" t="s">
        <v>219</v>
      </c>
      <c r="P1058" s="300" t="str">
        <f>IFERROR(VLOOKUP(C1058,TD!$B$33:$F$37,2,0)," ")</f>
        <v>O230117</v>
      </c>
      <c r="Q1058" s="300" t="str">
        <f>IFERROR(VLOOKUP(C1058,TD!$B$33:$F$37,3,0)," ")</f>
        <v>4599</v>
      </c>
      <c r="R1058" s="300">
        <f>IFERROR(VLOOKUP(C1058,TD!$B$33:$F$37,4,0)," ")</f>
        <v>20240207</v>
      </c>
      <c r="S1058" s="252" t="s">
        <v>185</v>
      </c>
      <c r="T1058" s="254" t="str">
        <f>IFERROR(VLOOKUP(S1058,TD!$J$34:$K$44,2,0)," ")</f>
        <v>Infraestructura física, mantenimiento y dotación (Sedes construidas, mantenidas reforzadas)</v>
      </c>
      <c r="U1058" s="249" t="str">
        <f>CONCATENATE(S1058,"-",T1058)</f>
        <v>08-Infraestructura física, mantenimiento y dotación (Sedes construidas, mantenidas reforzadas)</v>
      </c>
      <c r="V1058" s="252" t="s">
        <v>238</v>
      </c>
      <c r="W1058" s="254" t="str">
        <f>IFERROR(VLOOKUP(V1058,TD!$N$34:$O$46,2,0)," ")</f>
        <v>Sedes mantenidas</v>
      </c>
      <c r="X1058" s="296" t="str">
        <f>CONCATENATE(V1058,"_",W1058)</f>
        <v>016_Sedes mantenidas</v>
      </c>
      <c r="Y1058" s="296" t="str">
        <f>CONCATENATE(U1058," ",X1058)</f>
        <v>08-Infraestructura física, mantenimiento y dotación (Sedes construidas, mantenidas reforzadas) 016_Sedes mantenidas</v>
      </c>
      <c r="Z1058" s="300" t="str">
        <f>CONCATENATE(P1058,Q1058,R1058,S1058,V1058)</f>
        <v>O23011745992024020708016</v>
      </c>
      <c r="AA1058" s="300" t="str">
        <f>IFERROR(VLOOKUP(Y1058,TD!$K$47:$L$65,2,0)," ")</f>
        <v>PM/0131/0108/45990160207</v>
      </c>
      <c r="AB1058" s="131" t="s">
        <v>120</v>
      </c>
      <c r="AC1058" s="301" t="s">
        <v>205</v>
      </c>
    </row>
    <row r="1059" spans="2:29" ht="56" x14ac:dyDescent="0.35">
      <c r="B1059" s="137">
        <v>20251159</v>
      </c>
      <c r="C1059" s="138" t="s">
        <v>209</v>
      </c>
      <c r="D1059" s="292" t="s">
        <v>165</v>
      </c>
      <c r="E1059" s="252" t="s">
        <v>484</v>
      </c>
      <c r="F1059" s="292" t="s">
        <v>1315</v>
      </c>
      <c r="G1059" s="292" t="s">
        <v>155</v>
      </c>
      <c r="H1059" s="139">
        <v>80111600</v>
      </c>
      <c r="I1059" s="293">
        <v>12</v>
      </c>
      <c r="J1059" s="293">
        <v>1</v>
      </c>
      <c r="K1059" s="140">
        <v>0</v>
      </c>
      <c r="L1059" s="141">
        <v>3166666</v>
      </c>
      <c r="M1059" s="158" t="s">
        <v>464</v>
      </c>
      <c r="N1059" s="141" t="s">
        <v>113</v>
      </c>
      <c r="O1059" s="295" t="s">
        <v>229</v>
      </c>
      <c r="P1059" s="294" t="str">
        <f>IFERROR(VLOOKUP(C1059,TD!$B$33:$F$37,2,0)," ")</f>
        <v>O230117</v>
      </c>
      <c r="Q1059" s="294" t="str">
        <f>IFERROR(VLOOKUP(C1059,TD!$B$33:$F$37,3,0)," ")</f>
        <v>4503</v>
      </c>
      <c r="R1059" s="294">
        <f>IFERROR(VLOOKUP(C1059,TD!$B$33:$F$37,4,0)," ")</f>
        <v>20240255</v>
      </c>
      <c r="S1059" s="252" t="s">
        <v>183</v>
      </c>
      <c r="T1059" s="254" t="str">
        <f>IFERROR(VLOOKUP(S1059,TD!$J$34:$K$44,2,0)," ")</f>
        <v>Servicio de formación en gestión del riesgo de incendios para el personal UAECOB</v>
      </c>
      <c r="U1059" s="249" t="str">
        <f>CONCATENATE(S1059,"-",T1059)</f>
        <v>07-Servicio de formación en gestión del riesgo de incendios para el personal UAECOB</v>
      </c>
      <c r="V1059" s="252" t="s">
        <v>233</v>
      </c>
      <c r="W1059" s="254" t="str">
        <f>IFERROR(VLOOKUP(V1059,TD!$N$34:$O$46,2,0)," ")</f>
        <v>Servicio de educación informal</v>
      </c>
      <c r="X1059" s="296" t="str">
        <f>CONCATENATE(V1059,"_",W1059)</f>
        <v>002_Servicio de educación informal</v>
      </c>
      <c r="Y1059" s="296" t="str">
        <f>CONCATENATE(U1059," ",X1059)</f>
        <v>07-Servicio de formación en gestión del riesgo de incendios para el personal UAECOB 002_Servicio de educación informal</v>
      </c>
      <c r="Z1059" s="294" t="str">
        <f>CONCATENATE(P1059,Q1059,R1059,S1059,V1059)</f>
        <v>O23011745032024025507002</v>
      </c>
      <c r="AA1059" s="294" t="str">
        <f>IFERROR(VLOOKUP(Y1059,TD!$K$47:$L$65,2,0)," ")</f>
        <v>PM/0131/0107/45030020255</v>
      </c>
      <c r="AB1059" s="141" t="s">
        <v>138</v>
      </c>
      <c r="AC1059" s="297" t="s">
        <v>205</v>
      </c>
    </row>
    <row r="1060" spans="2:29" ht="56" x14ac:dyDescent="0.35">
      <c r="B1060" s="132">
        <v>20251162</v>
      </c>
      <c r="C1060" s="133" t="s">
        <v>209</v>
      </c>
      <c r="D1060" s="298" t="s">
        <v>165</v>
      </c>
      <c r="E1060" s="51" t="s">
        <v>484</v>
      </c>
      <c r="F1060" s="298" t="s">
        <v>1316</v>
      </c>
      <c r="G1060" s="298" t="s">
        <v>155</v>
      </c>
      <c r="H1060" s="134">
        <v>80111600</v>
      </c>
      <c r="I1060" s="299">
        <v>11</v>
      </c>
      <c r="J1060" s="299">
        <v>3</v>
      </c>
      <c r="K1060" s="135">
        <v>0</v>
      </c>
      <c r="L1060" s="131">
        <v>20000000</v>
      </c>
      <c r="M1060" s="142" t="s">
        <v>464</v>
      </c>
      <c r="N1060" s="131" t="s">
        <v>113</v>
      </c>
      <c r="O1060" s="302" t="s">
        <v>229</v>
      </c>
      <c r="P1060" s="300" t="str">
        <f>IFERROR(VLOOKUP(C1060,TD!$B$33:$F$37,2,0)," ")</f>
        <v>O230117</v>
      </c>
      <c r="Q1060" s="300" t="str">
        <f>IFERROR(VLOOKUP(C1060,TD!$B$33:$F$37,3,0)," ")</f>
        <v>4503</v>
      </c>
      <c r="R1060" s="300">
        <f>IFERROR(VLOOKUP(C1060,TD!$B$33:$F$37,4,0)," ")</f>
        <v>20240255</v>
      </c>
      <c r="S1060" s="252" t="s">
        <v>183</v>
      </c>
      <c r="T1060" s="254" t="str">
        <f>IFERROR(VLOOKUP(S1060,TD!$J$34:$K$44,2,0)," ")</f>
        <v>Servicio de formación en gestión del riesgo de incendios para el personal UAECOB</v>
      </c>
      <c r="U1060" s="249" t="str">
        <f>CONCATENATE(S1060,"-",T1060)</f>
        <v>07-Servicio de formación en gestión del riesgo de incendios para el personal UAECOB</v>
      </c>
      <c r="V1060" s="252" t="s">
        <v>233</v>
      </c>
      <c r="W1060" s="254" t="str">
        <f>IFERROR(VLOOKUP(V1060,TD!$N$34:$O$46,2,0)," ")</f>
        <v>Servicio de educación informal</v>
      </c>
      <c r="X1060" s="296" t="str">
        <f>CONCATENATE(V1060,"_",W1060)</f>
        <v>002_Servicio de educación informal</v>
      </c>
      <c r="Y1060" s="296" t="str">
        <f>CONCATENATE(U1060," ",X1060)</f>
        <v>07-Servicio de formación en gestión del riesgo de incendios para el personal UAECOB 002_Servicio de educación informal</v>
      </c>
      <c r="Z1060" s="300" t="str">
        <f>CONCATENATE(P1060,Q1060,R1060,S1060,V1060)</f>
        <v>O23011745032024025507002</v>
      </c>
      <c r="AA1060" s="300" t="str">
        <f>IFERROR(VLOOKUP(Y1060,TD!$K$47:$L$65,2,0)," ")</f>
        <v>PM/0131/0107/45030020255</v>
      </c>
      <c r="AB1060" s="131" t="s">
        <v>138</v>
      </c>
      <c r="AC1060" s="301" t="s">
        <v>204</v>
      </c>
    </row>
    <row r="1061" spans="2:29" ht="56" x14ac:dyDescent="0.35">
      <c r="B1061" s="132">
        <v>20251163</v>
      </c>
      <c r="C1061" s="133" t="s">
        <v>208</v>
      </c>
      <c r="D1061" s="298" t="s">
        <v>163</v>
      </c>
      <c r="E1061" s="302" t="s">
        <v>350</v>
      </c>
      <c r="F1061" s="298" t="s">
        <v>1317</v>
      </c>
      <c r="G1061" s="298" t="s">
        <v>155</v>
      </c>
      <c r="H1061" s="134">
        <v>80111600</v>
      </c>
      <c r="I1061" s="299">
        <v>12</v>
      </c>
      <c r="J1061" s="299">
        <v>1</v>
      </c>
      <c r="K1061" s="135">
        <v>5</v>
      </c>
      <c r="L1061" s="131">
        <v>8942500</v>
      </c>
      <c r="M1061" s="142" t="s">
        <v>464</v>
      </c>
      <c r="N1061" s="131" t="s">
        <v>113</v>
      </c>
      <c r="O1061" s="302" t="s">
        <v>219</v>
      </c>
      <c r="P1061" s="300" t="str">
        <f>IFERROR(VLOOKUP(C1061,TD!$B$33:$F$37,2,0)," ")</f>
        <v>O230117</v>
      </c>
      <c r="Q1061" s="300" t="str">
        <f>IFERROR(VLOOKUP(C1061,TD!$B$33:$F$37,3,0)," ")</f>
        <v>4599</v>
      </c>
      <c r="R1061" s="300">
        <f>IFERROR(VLOOKUP(C1061,TD!$B$33:$F$37,4,0)," ")</f>
        <v>20240207</v>
      </c>
      <c r="S1061" s="252" t="s">
        <v>185</v>
      </c>
      <c r="T1061" s="254" t="str">
        <f>IFERROR(VLOOKUP(S1061,TD!$J$34:$K$44,2,0)," ")</f>
        <v>Infraestructura física, mantenimiento y dotación (Sedes construidas, mantenidas reforzadas)</v>
      </c>
      <c r="U1061" s="249" t="str">
        <f>CONCATENATE(S1061,"-",T1061)</f>
        <v>08-Infraestructura física, mantenimiento y dotación (Sedes construidas, mantenidas reforzadas)</v>
      </c>
      <c r="V1061" s="252" t="s">
        <v>238</v>
      </c>
      <c r="W1061" s="254" t="str">
        <f>IFERROR(VLOOKUP(V1061,TD!$N$34:$O$46,2,0)," ")</f>
        <v>Sedes mantenidas</v>
      </c>
      <c r="X1061" s="296" t="str">
        <f>CONCATENATE(V1061,"_",W1061)</f>
        <v>016_Sedes mantenidas</v>
      </c>
      <c r="Y1061" s="296" t="str">
        <f>CONCATENATE(U1061," ",X1061)</f>
        <v>08-Infraestructura física, mantenimiento y dotación (Sedes construidas, mantenidas reforzadas) 016_Sedes mantenidas</v>
      </c>
      <c r="Z1061" s="300" t="str">
        <f>CONCATENATE(P1061,Q1061,R1061,S1061,V1061)</f>
        <v>O23011745992024020708016</v>
      </c>
      <c r="AA1061" s="300" t="str">
        <f>IFERROR(VLOOKUP(Y1061,TD!$K$47:$L$65,2,0)," ")</f>
        <v>PM/0131/0108/45990160207</v>
      </c>
      <c r="AB1061" s="131" t="s">
        <v>138</v>
      </c>
      <c r="AC1061" s="301" t="s">
        <v>205</v>
      </c>
    </row>
    <row r="1062" spans="2:29" ht="98" x14ac:dyDescent="0.35">
      <c r="B1062" s="132">
        <v>20251164</v>
      </c>
      <c r="C1062" s="133" t="s">
        <v>208</v>
      </c>
      <c r="D1062" s="298" t="s">
        <v>163</v>
      </c>
      <c r="E1062" s="302" t="s">
        <v>350</v>
      </c>
      <c r="F1062" s="298" t="s">
        <v>1318</v>
      </c>
      <c r="G1062" s="298" t="s">
        <v>155</v>
      </c>
      <c r="H1062" s="134">
        <v>80111600</v>
      </c>
      <c r="I1062" s="299">
        <v>12</v>
      </c>
      <c r="J1062" s="299">
        <v>0</v>
      </c>
      <c r="K1062" s="135">
        <v>22</v>
      </c>
      <c r="L1062" s="131">
        <v>5621000</v>
      </c>
      <c r="M1062" s="142" t="s">
        <v>464</v>
      </c>
      <c r="N1062" s="131" t="s">
        <v>113</v>
      </c>
      <c r="O1062" s="302" t="s">
        <v>219</v>
      </c>
      <c r="P1062" s="300" t="str">
        <f>IFERROR(VLOOKUP(C1062,TD!$B$33:$F$37,2,0)," ")</f>
        <v>O230117</v>
      </c>
      <c r="Q1062" s="300" t="str">
        <f>IFERROR(VLOOKUP(C1062,TD!$B$33:$F$37,3,0)," ")</f>
        <v>4599</v>
      </c>
      <c r="R1062" s="300">
        <f>IFERROR(VLOOKUP(C1062,TD!$B$33:$F$37,4,0)," ")</f>
        <v>20240207</v>
      </c>
      <c r="S1062" s="252" t="s">
        <v>185</v>
      </c>
      <c r="T1062" s="254" t="str">
        <f>IFERROR(VLOOKUP(S1062,TD!$J$34:$K$44,2,0)," ")</f>
        <v>Infraestructura física, mantenimiento y dotación (Sedes construidas, mantenidas reforzadas)</v>
      </c>
      <c r="U1062" s="249" t="str">
        <f>CONCATENATE(S1062,"-",T1062)</f>
        <v>08-Infraestructura física, mantenimiento y dotación (Sedes construidas, mantenidas reforzadas)</v>
      </c>
      <c r="V1062" s="252" t="s">
        <v>238</v>
      </c>
      <c r="W1062" s="254" t="str">
        <f>IFERROR(VLOOKUP(V1062,TD!$N$34:$O$46,2,0)," ")</f>
        <v>Sedes mantenidas</v>
      </c>
      <c r="X1062" s="296" t="str">
        <f>CONCATENATE(V1062,"_",W1062)</f>
        <v>016_Sedes mantenidas</v>
      </c>
      <c r="Y1062" s="296" t="str">
        <f>CONCATENATE(U1062," ",X1062)</f>
        <v>08-Infraestructura física, mantenimiento y dotación (Sedes construidas, mantenidas reforzadas) 016_Sedes mantenidas</v>
      </c>
      <c r="Z1062" s="300" t="str">
        <f>CONCATENATE(P1062,Q1062,R1062,S1062,V1062)</f>
        <v>O23011745992024020708016</v>
      </c>
      <c r="AA1062" s="300" t="str">
        <f>IFERROR(VLOOKUP(Y1062,TD!$K$47:$L$65,2,0)," ")</f>
        <v>PM/0131/0108/45990160207</v>
      </c>
      <c r="AB1062" s="131" t="s">
        <v>138</v>
      </c>
      <c r="AC1062" s="301" t="s">
        <v>205</v>
      </c>
    </row>
    <row r="1063" spans="2:29" ht="98" x14ac:dyDescent="0.35">
      <c r="B1063" s="132">
        <v>20251165</v>
      </c>
      <c r="C1063" s="133" t="s">
        <v>208</v>
      </c>
      <c r="D1063" s="298" t="s">
        <v>163</v>
      </c>
      <c r="E1063" s="302" t="s">
        <v>350</v>
      </c>
      <c r="F1063" s="298" t="s">
        <v>1321</v>
      </c>
      <c r="G1063" s="298" t="s">
        <v>155</v>
      </c>
      <c r="H1063" s="134">
        <v>80111600</v>
      </c>
      <c r="I1063" s="299">
        <v>10</v>
      </c>
      <c r="J1063" s="299">
        <v>2</v>
      </c>
      <c r="K1063" s="135">
        <v>12</v>
      </c>
      <c r="L1063" s="131">
        <v>18396000</v>
      </c>
      <c r="M1063" s="142" t="s">
        <v>464</v>
      </c>
      <c r="N1063" s="131" t="s">
        <v>113</v>
      </c>
      <c r="O1063" s="302" t="s">
        <v>219</v>
      </c>
      <c r="P1063" s="300" t="str">
        <f>IFERROR(VLOOKUP(C1063,TD!$B$33:$F$37,2,0)," ")</f>
        <v>O230117</v>
      </c>
      <c r="Q1063" s="300" t="str">
        <f>IFERROR(VLOOKUP(C1063,TD!$B$33:$F$37,3,0)," ")</f>
        <v>4599</v>
      </c>
      <c r="R1063" s="300">
        <f>IFERROR(VLOOKUP(C1063,TD!$B$33:$F$37,4,0)," ")</f>
        <v>20240207</v>
      </c>
      <c r="S1063" s="252" t="s">
        <v>185</v>
      </c>
      <c r="T1063" s="254" t="str">
        <f>IFERROR(VLOOKUP(S1063,TD!$J$34:$K$44,2,0)," ")</f>
        <v>Infraestructura física, mantenimiento y dotación (Sedes construidas, mantenidas reforzadas)</v>
      </c>
      <c r="U1063" s="249" t="str">
        <f>CONCATENATE(S1063,"-",T1063)</f>
        <v>08-Infraestructura física, mantenimiento y dotación (Sedes construidas, mantenidas reforzadas)</v>
      </c>
      <c r="V1063" s="252" t="s">
        <v>238</v>
      </c>
      <c r="W1063" s="254" t="str">
        <f>IFERROR(VLOOKUP(V1063,TD!$N$34:$O$46,2,0)," ")</f>
        <v>Sedes mantenidas</v>
      </c>
      <c r="X1063" s="296" t="str">
        <f>CONCATENATE(V1063,"_",W1063)</f>
        <v>016_Sedes mantenidas</v>
      </c>
      <c r="Y1063" s="296" t="str">
        <f>CONCATENATE(U1063," ",X1063)</f>
        <v>08-Infraestructura física, mantenimiento y dotación (Sedes construidas, mantenidas reforzadas) 016_Sedes mantenidas</v>
      </c>
      <c r="Z1063" s="300" t="str">
        <f>CONCATENATE(P1063,Q1063,R1063,S1063,V1063)</f>
        <v>O23011745992024020708016</v>
      </c>
      <c r="AA1063" s="300" t="str">
        <f>IFERROR(VLOOKUP(Y1063,TD!$K$47:$L$65,2,0)," ")</f>
        <v>PM/0131/0108/45990160207</v>
      </c>
      <c r="AB1063" s="131" t="s">
        <v>138</v>
      </c>
      <c r="AC1063" s="301" t="s">
        <v>205</v>
      </c>
    </row>
    <row r="1064" spans="2:29" ht="98" x14ac:dyDescent="0.35">
      <c r="B1064" s="132">
        <v>20251166</v>
      </c>
      <c r="C1064" s="133" t="s">
        <v>208</v>
      </c>
      <c r="D1064" s="298" t="s">
        <v>163</v>
      </c>
      <c r="E1064" s="302" t="s">
        <v>350</v>
      </c>
      <c r="F1064" s="298" t="s">
        <v>1319</v>
      </c>
      <c r="G1064" s="298" t="s">
        <v>155</v>
      </c>
      <c r="H1064" s="134">
        <v>80111600</v>
      </c>
      <c r="I1064" s="299">
        <v>12</v>
      </c>
      <c r="J1064" s="299">
        <v>0</v>
      </c>
      <c r="K1064" s="135">
        <v>22</v>
      </c>
      <c r="L1064" s="131">
        <v>3394293</v>
      </c>
      <c r="M1064" s="142" t="s">
        <v>464</v>
      </c>
      <c r="N1064" s="131" t="s">
        <v>113</v>
      </c>
      <c r="O1064" s="302" t="s">
        <v>219</v>
      </c>
      <c r="P1064" s="300" t="str">
        <f>IFERROR(VLOOKUP(C1064,TD!$B$33:$F$37,2,0)," ")</f>
        <v>O230117</v>
      </c>
      <c r="Q1064" s="300" t="str">
        <f>IFERROR(VLOOKUP(C1064,TD!$B$33:$F$37,3,0)," ")</f>
        <v>4599</v>
      </c>
      <c r="R1064" s="300">
        <f>IFERROR(VLOOKUP(C1064,TD!$B$33:$F$37,4,0)," ")</f>
        <v>20240207</v>
      </c>
      <c r="S1064" s="252" t="s">
        <v>185</v>
      </c>
      <c r="T1064" s="254" t="str">
        <f>IFERROR(VLOOKUP(S1064,TD!$J$34:$K$44,2,0)," ")</f>
        <v>Infraestructura física, mantenimiento y dotación (Sedes construidas, mantenidas reforzadas)</v>
      </c>
      <c r="U1064" s="249" t="str">
        <f>CONCATENATE(S1064,"-",T1064)</f>
        <v>08-Infraestructura física, mantenimiento y dotación (Sedes construidas, mantenidas reforzadas)</v>
      </c>
      <c r="V1064" s="252" t="s">
        <v>238</v>
      </c>
      <c r="W1064" s="254" t="str">
        <f>IFERROR(VLOOKUP(V1064,TD!$N$34:$O$46,2,0)," ")</f>
        <v>Sedes mantenidas</v>
      </c>
      <c r="X1064" s="296" t="str">
        <f>CONCATENATE(V1064,"_",W1064)</f>
        <v>016_Sedes mantenidas</v>
      </c>
      <c r="Y1064" s="296" t="str">
        <f>CONCATENATE(U1064," ",X1064)</f>
        <v>08-Infraestructura física, mantenimiento y dotación (Sedes construidas, mantenidas reforzadas) 016_Sedes mantenidas</v>
      </c>
      <c r="Z1064" s="300" t="str">
        <f>CONCATENATE(P1064,Q1064,R1064,S1064,V1064)</f>
        <v>O23011745992024020708016</v>
      </c>
      <c r="AA1064" s="300" t="str">
        <f>IFERROR(VLOOKUP(Y1064,TD!$K$47:$L$65,2,0)," ")</f>
        <v>PM/0131/0108/45990160207</v>
      </c>
      <c r="AB1064" s="131" t="s">
        <v>138</v>
      </c>
      <c r="AC1064" s="301" t="s">
        <v>205</v>
      </c>
    </row>
    <row r="1065" spans="2:29" ht="42" x14ac:dyDescent="0.35">
      <c r="B1065" s="132">
        <v>20251167</v>
      </c>
      <c r="C1065" s="133" t="s">
        <v>208</v>
      </c>
      <c r="D1065" s="298" t="s">
        <v>163</v>
      </c>
      <c r="E1065" s="302" t="s">
        <v>350</v>
      </c>
      <c r="F1065" s="298" t="s">
        <v>1320</v>
      </c>
      <c r="G1065" s="298" t="s">
        <v>156</v>
      </c>
      <c r="H1065" s="134">
        <v>80111600</v>
      </c>
      <c r="I1065" s="299">
        <v>12</v>
      </c>
      <c r="J1065" s="299">
        <v>0</v>
      </c>
      <c r="K1065" s="135">
        <v>27</v>
      </c>
      <c r="L1065" s="131">
        <v>3441606</v>
      </c>
      <c r="M1065" s="142" t="s">
        <v>464</v>
      </c>
      <c r="N1065" s="131" t="s">
        <v>113</v>
      </c>
      <c r="O1065" s="302" t="s">
        <v>219</v>
      </c>
      <c r="P1065" s="300" t="str">
        <f>IFERROR(VLOOKUP(C1065,TD!$B$33:$F$37,2,0)," ")</f>
        <v>O230117</v>
      </c>
      <c r="Q1065" s="300" t="str">
        <f>IFERROR(VLOOKUP(C1065,TD!$B$33:$F$37,3,0)," ")</f>
        <v>4599</v>
      </c>
      <c r="R1065" s="300">
        <f>IFERROR(VLOOKUP(C1065,TD!$B$33:$F$37,4,0)," ")</f>
        <v>20240207</v>
      </c>
      <c r="S1065" s="295" t="s">
        <v>185</v>
      </c>
      <c r="T1065" s="294" t="str">
        <f>IFERROR(VLOOKUP(S1065,TD!$J$34:$K$44,2,0)," ")</f>
        <v>Infraestructura física, mantenimiento y dotación (Sedes construidas, mantenidas reforzadas)</v>
      </c>
      <c r="U1065" s="296" t="str">
        <f>CONCATENATE(S1065,"-",T1065)</f>
        <v>08-Infraestructura física, mantenimiento y dotación (Sedes construidas, mantenidas reforzadas)</v>
      </c>
      <c r="V1065" s="295" t="s">
        <v>238</v>
      </c>
      <c r="W1065" s="294" t="str">
        <f>IFERROR(VLOOKUP(V1065,TD!$N$34:$O$46,2,0)," ")</f>
        <v>Sedes mantenidas</v>
      </c>
      <c r="X1065" s="296" t="str">
        <f>CONCATENATE(V1065,"_",W1065)</f>
        <v>016_Sedes mantenidas</v>
      </c>
      <c r="Y1065" s="296" t="str">
        <f>CONCATENATE(U1065," ",X1065)</f>
        <v>08-Infraestructura física, mantenimiento y dotación (Sedes construidas, mantenidas reforzadas) 016_Sedes mantenidas</v>
      </c>
      <c r="Z1065" s="300" t="str">
        <f>CONCATENATE(P1065,Q1065,R1065,S1065,V1065)</f>
        <v>O23011745992024020708016</v>
      </c>
      <c r="AA1065" s="300" t="str">
        <f>IFERROR(VLOOKUP(Y1065,TD!$K$47:$L$65,2,0)," ")</f>
        <v>PM/0131/0108/45990160207</v>
      </c>
      <c r="AB1065" s="131" t="s">
        <v>138</v>
      </c>
      <c r="AC1065" s="301" t="s">
        <v>205</v>
      </c>
    </row>
    <row r="1066" spans="2:29" ht="56" x14ac:dyDescent="0.35">
      <c r="B1066" s="362">
        <v>20251168</v>
      </c>
      <c r="C1066" s="188" t="s">
        <v>209</v>
      </c>
      <c r="D1066" s="365" t="s">
        <v>167</v>
      </c>
      <c r="E1066" s="367" t="s">
        <v>505</v>
      </c>
      <c r="F1066" s="365" t="s">
        <v>519</v>
      </c>
      <c r="G1066" s="365" t="s">
        <v>156</v>
      </c>
      <c r="H1066" s="369">
        <v>80111600</v>
      </c>
      <c r="I1066" s="371">
        <v>11</v>
      </c>
      <c r="J1066" s="371">
        <v>2</v>
      </c>
      <c r="K1066" s="373">
        <v>0</v>
      </c>
      <c r="L1066" s="189">
        <v>7500000</v>
      </c>
      <c r="M1066" s="182" t="s">
        <v>464</v>
      </c>
      <c r="N1066" s="189" t="s">
        <v>508</v>
      </c>
      <c r="O1066" s="302" t="s">
        <v>221</v>
      </c>
      <c r="P1066" s="377" t="str">
        <f>IFERROR(VLOOKUP(C1066,TD!$B$33:$F$37,2,0)," ")</f>
        <v>O230117</v>
      </c>
      <c r="Q1066" s="377" t="str">
        <f>IFERROR(VLOOKUP(C1066,TD!$B$33:$F$37,3,0)," ")</f>
        <v>4503</v>
      </c>
      <c r="R1066" s="377">
        <f>IFERROR(VLOOKUP(C1066,TD!$B$33:$F$37,4,0)," ")</f>
        <v>20240255</v>
      </c>
      <c r="S1066" s="295" t="s">
        <v>177</v>
      </c>
      <c r="T1066" s="294" t="str">
        <f>IFERROR(VLOOKUP(S1066,TD!$J$34:$K$44,2,0)," ")</f>
        <v>Servicio de capacitaciones en gestión del riesgo de incendios  a la ciudadania.</v>
      </c>
      <c r="U1066" s="296" t="str">
        <f>CONCATENATE(S1066,"-",T1066)</f>
        <v>05-Servicio de capacitaciones en gestión del riesgo de incendios  a la ciudadania.</v>
      </c>
      <c r="V1066" s="295" t="s">
        <v>234</v>
      </c>
      <c r="W1066" s="294" t="str">
        <f>IFERROR(VLOOKUP(V1066,TD!$N$34:$O$46,2,0)," ")</f>
        <v>Servicio prevención y control de incendios</v>
      </c>
      <c r="X1066" s="296" t="str">
        <f>CONCATENATE(V1066,"_",W1066)</f>
        <v>035_Servicio prevención y control de incendios</v>
      </c>
      <c r="Y1066" s="296" t="str">
        <f>CONCATENATE(U1066," ",X1066)</f>
        <v>05-Servicio de capacitaciones en gestión del riesgo de incendios  a la ciudadania. 035_Servicio prevención y control de incendios</v>
      </c>
      <c r="Z1066" s="377" t="str">
        <f>CONCATENATE(P1066,Q1066,R1066,S1066,V1066)</f>
        <v>O23011745032024025505035</v>
      </c>
      <c r="AA1066" s="377" t="str">
        <f>IFERROR(VLOOKUP(Y1066,TD!$K$47:$L$65,2,0)," ")</f>
        <v>PM/0131/0105/45030350255</v>
      </c>
      <c r="AB1066" s="189" t="s">
        <v>138</v>
      </c>
      <c r="AC1066" s="379" t="s">
        <v>204</v>
      </c>
    </row>
    <row r="1067" spans="2:29" ht="56" x14ac:dyDescent="0.35">
      <c r="B1067" s="190">
        <v>20251170</v>
      </c>
      <c r="C1067" s="188" t="s">
        <v>209</v>
      </c>
      <c r="D1067" s="336" t="s">
        <v>165</v>
      </c>
      <c r="E1067" s="341" t="s">
        <v>484</v>
      </c>
      <c r="F1067" s="336" t="s">
        <v>1322</v>
      </c>
      <c r="G1067" s="336" t="s">
        <v>155</v>
      </c>
      <c r="H1067" s="191">
        <v>80111600</v>
      </c>
      <c r="I1067" s="337">
        <v>5</v>
      </c>
      <c r="J1067" s="337">
        <v>4</v>
      </c>
      <c r="K1067" s="192">
        <v>0</v>
      </c>
      <c r="L1067" s="193">
        <v>10322000</v>
      </c>
      <c r="M1067" s="182" t="s">
        <v>464</v>
      </c>
      <c r="N1067" s="189" t="s">
        <v>508</v>
      </c>
      <c r="O1067" s="341" t="s">
        <v>229</v>
      </c>
      <c r="P1067" s="338" t="str">
        <f>IFERROR(VLOOKUP(C1067,TD!$B$33:$F$37,2,0)," ")</f>
        <v>O230117</v>
      </c>
      <c r="Q1067" s="338" t="str">
        <f>IFERROR(VLOOKUP(C1067,TD!$B$33:$F$37,3,0)," ")</f>
        <v>4503</v>
      </c>
      <c r="R1067" s="338">
        <f>IFERROR(VLOOKUP(C1067,TD!$B$33:$F$37,4,0)," ")</f>
        <v>20240255</v>
      </c>
      <c r="S1067" s="295" t="s">
        <v>183</v>
      </c>
      <c r="T1067" s="294" t="str">
        <f>IFERROR(VLOOKUP(S1067,TD!$J$34:$K$44,2,0)," ")</f>
        <v>Servicio de formación en gestión del riesgo de incendios para el personal UAECOB</v>
      </c>
      <c r="U1067" s="296" t="str">
        <f>CONCATENATE(S1067,"-",T1067)</f>
        <v>07-Servicio de formación en gestión del riesgo de incendios para el personal UAECOB</v>
      </c>
      <c r="V1067" s="295" t="s">
        <v>233</v>
      </c>
      <c r="W1067" s="294" t="str">
        <f>IFERROR(VLOOKUP(V1067,TD!$N$34:$O$46,2,0)," ")</f>
        <v>Servicio de educación informal</v>
      </c>
      <c r="X1067" s="296" t="str">
        <f>CONCATENATE(V1067,"_",W1067)</f>
        <v>002_Servicio de educación informal</v>
      </c>
      <c r="Y1067" s="296" t="str">
        <f>CONCATENATE(U1067," ",X1067)</f>
        <v>07-Servicio de formación en gestión del riesgo de incendios para el personal UAECOB 002_Servicio de educación informal</v>
      </c>
      <c r="Z1067" s="338" t="str">
        <f>CONCATENATE(P1067,Q1067,R1067,S1067,V1067)</f>
        <v>O23011745032024025507002</v>
      </c>
      <c r="AA1067" s="338" t="str">
        <f>IFERROR(VLOOKUP(Y1067,TD!$K$47:$L$65,2,0)," ")</f>
        <v>PM/0131/0107/45030020255</v>
      </c>
      <c r="AB1067" s="189" t="s">
        <v>138</v>
      </c>
      <c r="AC1067" s="339" t="s">
        <v>205</v>
      </c>
    </row>
    <row r="1068" spans="2:29" ht="56" x14ac:dyDescent="0.35">
      <c r="B1068" s="421">
        <v>20251171</v>
      </c>
      <c r="C1068" s="424" t="s">
        <v>209</v>
      </c>
      <c r="D1068" s="427" t="s">
        <v>165</v>
      </c>
      <c r="E1068" s="335" t="s">
        <v>484</v>
      </c>
      <c r="F1068" s="427" t="s">
        <v>1323</v>
      </c>
      <c r="G1068" s="427" t="s">
        <v>155</v>
      </c>
      <c r="H1068" s="435">
        <v>80111600</v>
      </c>
      <c r="I1068" s="439">
        <v>5</v>
      </c>
      <c r="J1068" s="439">
        <v>4</v>
      </c>
      <c r="K1068" s="444">
        <v>0</v>
      </c>
      <c r="L1068" s="448">
        <v>7741500</v>
      </c>
      <c r="M1068" s="453" t="s">
        <v>464</v>
      </c>
      <c r="N1068" s="455" t="s">
        <v>508</v>
      </c>
      <c r="O1068" s="335" t="s">
        <v>229</v>
      </c>
      <c r="P1068" s="340" t="str">
        <f>IFERROR(VLOOKUP(C1068,TD!$B$33:$F$37,2,0)," ")</f>
        <v>O230117</v>
      </c>
      <c r="Q1068" s="340" t="str">
        <f>IFERROR(VLOOKUP(C1068,TD!$B$33:$F$37,3,0)," ")</f>
        <v>4503</v>
      </c>
      <c r="R1068" s="340">
        <f>IFERROR(VLOOKUP(C1068,TD!$B$33:$F$37,4,0)," ")</f>
        <v>20240255</v>
      </c>
      <c r="S1068" s="252" t="s">
        <v>183</v>
      </c>
      <c r="T1068" s="254" t="str">
        <f>IFERROR(VLOOKUP(S1068,TD!$J$34:$K$44,2,0)," ")</f>
        <v>Servicio de formación en gestión del riesgo de incendios para el personal UAECOB</v>
      </c>
      <c r="U1068" s="332" t="str">
        <f>CONCATENATE(S1068,"-",T1068)</f>
        <v>07-Servicio de formación en gestión del riesgo de incendios para el personal UAECOB</v>
      </c>
      <c r="V1068" s="252" t="s">
        <v>233</v>
      </c>
      <c r="W1068" s="254" t="str">
        <f>IFERROR(VLOOKUP(V1068,TD!$N$34:$O$46,2,0)," ")</f>
        <v>Servicio de educación informal</v>
      </c>
      <c r="X1068" s="333" t="str">
        <f>CONCATENATE(V1068,"_",W1068)</f>
        <v>002_Servicio de educación informal</v>
      </c>
      <c r="Y1068" s="334" t="str">
        <f>CONCATENATE(U1068," ",X1068)</f>
        <v>07-Servicio de formación en gestión del riesgo de incendios para el personal UAECOB 002_Servicio de educación informal</v>
      </c>
      <c r="Z1068" s="340" t="str">
        <f>CONCATENATE(P1068,Q1068,R1068,S1068,V1068)</f>
        <v>O23011745032024025507002</v>
      </c>
      <c r="AA1068" s="340" t="str">
        <f>IFERROR(VLOOKUP(Y1068,TD!$K$47:$L$65,2,0)," ")</f>
        <v>PM/0131/0107/45030020255</v>
      </c>
      <c r="AB1068" s="455" t="s">
        <v>138</v>
      </c>
      <c r="AC1068" s="335" t="s">
        <v>205</v>
      </c>
    </row>
    <row r="1069" spans="2:29" ht="56" x14ac:dyDescent="0.35">
      <c r="B1069" s="418">
        <v>20251172</v>
      </c>
      <c r="C1069" s="424" t="s">
        <v>209</v>
      </c>
      <c r="D1069" s="427" t="s">
        <v>165</v>
      </c>
      <c r="E1069" s="335" t="s">
        <v>484</v>
      </c>
      <c r="F1069" s="427" t="s">
        <v>1324</v>
      </c>
      <c r="G1069" s="427" t="s">
        <v>155</v>
      </c>
      <c r="H1069" s="435">
        <v>80111600</v>
      </c>
      <c r="I1069" s="439">
        <v>5</v>
      </c>
      <c r="J1069" s="439">
        <v>4</v>
      </c>
      <c r="K1069" s="444">
        <v>0</v>
      </c>
      <c r="L1069" s="448">
        <v>10322000</v>
      </c>
      <c r="M1069" s="182" t="s">
        <v>464</v>
      </c>
      <c r="N1069" s="455" t="s">
        <v>508</v>
      </c>
      <c r="O1069" s="335" t="s">
        <v>229</v>
      </c>
      <c r="P1069" s="340" t="str">
        <f>IFERROR(VLOOKUP(C1069,TD!$B$33:$F$37,2,0)," ")</f>
        <v>O230117</v>
      </c>
      <c r="Q1069" s="340" t="str">
        <f>IFERROR(VLOOKUP(C1069,TD!$B$33:$F$37,3,0)," ")</f>
        <v>4503</v>
      </c>
      <c r="R1069" s="340">
        <f>IFERROR(VLOOKUP(C1069,TD!$B$33:$F$37,4,0)," ")</f>
        <v>20240255</v>
      </c>
      <c r="S1069" s="295" t="s">
        <v>183</v>
      </c>
      <c r="T1069" s="294" t="str">
        <f>IFERROR(VLOOKUP(S1069,TD!$J$34:$K$44,2,0)," ")</f>
        <v>Servicio de formación en gestión del riesgo de incendios para el personal UAECOB</v>
      </c>
      <c r="U1069" s="296" t="str">
        <f>CONCATENATE(S1069,"-",T1069)</f>
        <v>07-Servicio de formación en gestión del riesgo de incendios para el personal UAECOB</v>
      </c>
      <c r="V1069" s="295" t="s">
        <v>233</v>
      </c>
      <c r="W1069" s="294" t="str">
        <f>IFERROR(VLOOKUP(V1069,TD!$N$34:$O$46,2,0)," ")</f>
        <v>Servicio de educación informal</v>
      </c>
      <c r="X1069" s="249" t="str">
        <f>CONCATENATE(V1069,"_",W1069)</f>
        <v>002_Servicio de educación informal</v>
      </c>
      <c r="Y1069" s="249" t="str">
        <f>CONCATENATE(U1069," ",X1069)</f>
        <v>07-Servicio de formación en gestión del riesgo de incendios para el personal UAECOB 002_Servicio de educación informal</v>
      </c>
      <c r="Z1069" s="340" t="str">
        <f>CONCATENATE(P1069,Q1069,R1069,S1069,V1069)</f>
        <v>O23011745032024025507002</v>
      </c>
      <c r="AA1069" s="340" t="str">
        <f>IFERROR(VLOOKUP(Y1069,TD!$K$47:$L$65,2,0)," ")</f>
        <v>PM/0131/0107/45030020255</v>
      </c>
      <c r="AB1069" s="455" t="s">
        <v>138</v>
      </c>
      <c r="AC1069" s="465" t="s">
        <v>205</v>
      </c>
    </row>
    <row r="1070" spans="2:29" ht="47.5" customHeight="1" x14ac:dyDescent="0.35">
      <c r="B1070" s="190">
        <v>20251174</v>
      </c>
      <c r="C1070" s="235" t="s">
        <v>209</v>
      </c>
      <c r="D1070" s="336" t="s">
        <v>168</v>
      </c>
      <c r="E1070" s="341" t="s">
        <v>600</v>
      </c>
      <c r="F1070" s="336" t="s">
        <v>1327</v>
      </c>
      <c r="G1070" s="336" t="s">
        <v>155</v>
      </c>
      <c r="H1070" s="191" t="s">
        <v>1328</v>
      </c>
      <c r="I1070" s="337">
        <v>11</v>
      </c>
      <c r="J1070" s="337">
        <v>5</v>
      </c>
      <c r="K1070" s="192">
        <v>0</v>
      </c>
      <c r="L1070" s="193">
        <v>64000000</v>
      </c>
      <c r="M1070" s="194" t="s">
        <v>464</v>
      </c>
      <c r="N1070" s="193" t="s">
        <v>100</v>
      </c>
      <c r="O1070" s="341" t="s">
        <v>224</v>
      </c>
      <c r="P1070" s="338" t="str">
        <f>IFERROR(VLOOKUP(C1070,TD!$B$33:$F$37,2,0)," ")</f>
        <v>O230117</v>
      </c>
      <c r="Q1070" s="338" t="str">
        <f>IFERROR(VLOOKUP(C1070,TD!$B$33:$F$37,3,0)," ")</f>
        <v>4503</v>
      </c>
      <c r="R1070" s="338">
        <f>IFERROR(VLOOKUP(C1070,TD!$B$33:$F$37,4,0)," ")</f>
        <v>20240255</v>
      </c>
      <c r="S1070" s="341" t="s">
        <v>191</v>
      </c>
      <c r="T1070" s="338" t="str">
        <f>IFERROR(VLOOKUP(S1070,TD!$J$34:$K$44,2,0)," ")</f>
        <v>Servicio de apoyo   logístico  en eventos operativos y/o emergencias.</v>
      </c>
      <c r="U1070" s="296" t="str">
        <f>CONCATENATE(S1070,"-",T1070)</f>
        <v>12-Servicio de apoyo   logístico  en eventos operativos y/o emergencias.</v>
      </c>
      <c r="V1070" s="341" t="s">
        <v>232</v>
      </c>
      <c r="W1070" s="338" t="str">
        <f>IFERROR(VLOOKUP(V1070,TD!$N$34:$O$46,2,0)," ")</f>
        <v>Servicio de atención a emergencias y desastres</v>
      </c>
      <c r="X1070" s="296" t="str">
        <f>CONCATENATE(V1070,"_",W1070)</f>
        <v>004_Servicio de atención a emergencias y desastres</v>
      </c>
      <c r="Y1070" s="296" t="str">
        <f>CONCATENATE(U1070," ",X1070)</f>
        <v>12-Servicio de apoyo   logístico  en eventos operativos y/o emergencias. 004_Servicio de atención a emergencias y desastres</v>
      </c>
      <c r="Z1070" s="338" t="str">
        <f>CONCATENATE(P1070,Q1070,R1070,S1070,V1070)</f>
        <v>O23011745032024025512004</v>
      </c>
      <c r="AA1070" s="338" t="str">
        <f>IFERROR(VLOOKUP(Y1070,TD!$K$47:$L$65,2,0)," ")</f>
        <v>PM/0131/0112/45030040255</v>
      </c>
      <c r="AB1070" s="193" t="s">
        <v>87</v>
      </c>
      <c r="AC1070" s="339" t="s">
        <v>204</v>
      </c>
    </row>
    <row r="1071" spans="2:29" ht="42" x14ac:dyDescent="0.35">
      <c r="B1071" s="190">
        <v>20251175</v>
      </c>
      <c r="C1071" s="235" t="s">
        <v>209</v>
      </c>
      <c r="D1071" s="336" t="s">
        <v>168</v>
      </c>
      <c r="E1071" s="341" t="s">
        <v>600</v>
      </c>
      <c r="F1071" s="336" t="s">
        <v>1329</v>
      </c>
      <c r="G1071" s="336" t="s">
        <v>155</v>
      </c>
      <c r="H1071" s="191">
        <v>80111600</v>
      </c>
      <c r="I1071" s="337">
        <v>11</v>
      </c>
      <c r="J1071" s="337">
        <v>2</v>
      </c>
      <c r="K1071" s="192">
        <v>0</v>
      </c>
      <c r="L1071" s="193">
        <v>11000000</v>
      </c>
      <c r="M1071" s="194" t="s">
        <v>464</v>
      </c>
      <c r="N1071" s="193" t="s">
        <v>113</v>
      </c>
      <c r="O1071" s="341" t="s">
        <v>224</v>
      </c>
      <c r="P1071" s="338" t="str">
        <f>IFERROR(VLOOKUP(C1071,TD!$B$33:$F$37,2,0)," ")</f>
        <v>O230117</v>
      </c>
      <c r="Q1071" s="338" t="str">
        <f>IFERROR(VLOOKUP(C1071,TD!$B$33:$F$37,3,0)," ")</f>
        <v>4503</v>
      </c>
      <c r="R1071" s="338">
        <f>IFERROR(VLOOKUP(C1071,TD!$B$33:$F$37,4,0)," ")</f>
        <v>20240255</v>
      </c>
      <c r="S1071" s="341" t="s">
        <v>191</v>
      </c>
      <c r="T1071" s="338" t="str">
        <f>IFERROR(VLOOKUP(S1071,TD!$J$34:$K$44,2,0)," ")</f>
        <v>Servicio de apoyo   logístico  en eventos operativos y/o emergencias.</v>
      </c>
      <c r="U1071" s="296" t="str">
        <f>CONCATENATE(S1071,"-",T1071)</f>
        <v>12-Servicio de apoyo   logístico  en eventos operativos y/o emergencias.</v>
      </c>
      <c r="V1071" s="341" t="s">
        <v>232</v>
      </c>
      <c r="W1071" s="338" t="str">
        <f>IFERROR(VLOOKUP(V1071,TD!$N$34:$O$46,2,0)," ")</f>
        <v>Servicio de atención a emergencias y desastres</v>
      </c>
      <c r="X1071" s="296" t="str">
        <f>CONCATENATE(V1071,"_",W1071)</f>
        <v>004_Servicio de atención a emergencias y desastres</v>
      </c>
      <c r="Y1071" s="296" t="str">
        <f>CONCATENATE(U1071," ",X1071)</f>
        <v>12-Servicio de apoyo   logístico  en eventos operativos y/o emergencias. 004_Servicio de atención a emergencias y desastres</v>
      </c>
      <c r="Z1071" s="338" t="str">
        <f>CONCATENATE(P1071,Q1071,R1071,S1071,V1071)</f>
        <v>O23011745032024025512004</v>
      </c>
      <c r="AA1071" s="338" t="str">
        <f>IFERROR(VLOOKUP(Y1071,TD!$K$47:$L$65,2,0)," ")</f>
        <v>PM/0131/0112/45030040255</v>
      </c>
      <c r="AB1071" s="193" t="s">
        <v>138</v>
      </c>
      <c r="AC1071" s="339" t="s">
        <v>205</v>
      </c>
    </row>
    <row r="1072" spans="2:29" ht="56" x14ac:dyDescent="0.35">
      <c r="B1072" s="137">
        <v>20251176</v>
      </c>
      <c r="C1072" s="138" t="s">
        <v>209</v>
      </c>
      <c r="D1072" s="292" t="s">
        <v>168</v>
      </c>
      <c r="E1072" s="295" t="s">
        <v>600</v>
      </c>
      <c r="F1072" s="292" t="s">
        <v>1330</v>
      </c>
      <c r="G1072" s="292" t="s">
        <v>119</v>
      </c>
      <c r="H1072" s="139">
        <v>15101500</v>
      </c>
      <c r="I1072" s="293">
        <v>12</v>
      </c>
      <c r="J1072" s="293">
        <v>3</v>
      </c>
      <c r="K1072" s="140">
        <v>0</v>
      </c>
      <c r="L1072" s="141">
        <f>2445024-2445024+10210623+732340+136305840+57955288</f>
        <v>205204091</v>
      </c>
      <c r="M1072" s="158" t="s">
        <v>464</v>
      </c>
      <c r="N1072" s="141" t="s">
        <v>123</v>
      </c>
      <c r="O1072" s="295" t="s">
        <v>224</v>
      </c>
      <c r="P1072" s="294" t="str">
        <f>IFERROR(VLOOKUP(C1072,TD!$B$33:$F$37,2,0)," ")</f>
        <v>O230117</v>
      </c>
      <c r="Q1072" s="294" t="str">
        <f>IFERROR(VLOOKUP(C1072,TD!$B$33:$F$37,3,0)," ")</f>
        <v>4503</v>
      </c>
      <c r="R1072" s="294">
        <f>IFERROR(VLOOKUP(C1072,TD!$B$33:$F$37,4,0)," ")</f>
        <v>20240255</v>
      </c>
      <c r="S1072" s="295" t="s">
        <v>191</v>
      </c>
      <c r="T1072" s="294" t="str">
        <f>IFERROR(VLOOKUP(S1072,TD!$J$34:$K$44,2,0)," ")</f>
        <v>Servicio de apoyo   logístico  en eventos operativos y/o emergencias.</v>
      </c>
      <c r="U1072" s="296" t="str">
        <f>CONCATENATE(S1072,"-",T1072)</f>
        <v>12-Servicio de apoyo   logístico  en eventos operativos y/o emergencias.</v>
      </c>
      <c r="V1072" s="295" t="s">
        <v>232</v>
      </c>
      <c r="W1072" s="294" t="str">
        <f>IFERROR(VLOOKUP(V1072,TD!$N$34:$O$46,2,0)," ")</f>
        <v>Servicio de atención a emergencias y desastres</v>
      </c>
      <c r="X1072" s="296" t="str">
        <f>CONCATENATE(V1072,"_",W1072)</f>
        <v>004_Servicio de atención a emergencias y desastres</v>
      </c>
      <c r="Y1072" s="296" t="str">
        <f>CONCATENATE(U1072," ",X1072)</f>
        <v>12-Servicio de apoyo   logístico  en eventos operativos y/o emergencias. 004_Servicio de atención a emergencias y desastres</v>
      </c>
      <c r="Z1072" s="294" t="str">
        <f>CONCATENATE(P1072,Q1072,R1072,S1072,V1072)</f>
        <v>O23011745032024025512004</v>
      </c>
      <c r="AA1072" s="294" t="str">
        <f>IFERROR(VLOOKUP(Y1072,TD!$K$47:$L$65,2,0)," ")</f>
        <v>PM/0131/0112/45030040255</v>
      </c>
      <c r="AB1072" s="141" t="s">
        <v>92</v>
      </c>
      <c r="AC1072" s="297" t="s">
        <v>205</v>
      </c>
    </row>
    <row r="1073" spans="2:29" ht="84" x14ac:dyDescent="0.35">
      <c r="B1073" s="77">
        <v>20251177</v>
      </c>
      <c r="C1073" s="50" t="s">
        <v>209</v>
      </c>
      <c r="D1073" s="246" t="s">
        <v>169</v>
      </c>
      <c r="E1073" s="51" t="s">
        <v>465</v>
      </c>
      <c r="F1073" s="246" t="s">
        <v>1373</v>
      </c>
      <c r="G1073" s="246" t="s">
        <v>156</v>
      </c>
      <c r="H1073" s="93">
        <v>80111600</v>
      </c>
      <c r="I1073" s="247">
        <v>11</v>
      </c>
      <c r="J1073" s="247">
        <v>8</v>
      </c>
      <c r="K1073" s="52">
        <v>0</v>
      </c>
      <c r="L1073" s="53">
        <v>24000000</v>
      </c>
      <c r="M1073" s="211" t="s">
        <v>464</v>
      </c>
      <c r="N1073" s="53" t="s">
        <v>113</v>
      </c>
      <c r="O1073" s="51" t="s">
        <v>222</v>
      </c>
      <c r="P1073" s="248" t="str">
        <f>IFERROR(VLOOKUP(C1073,TD!$B$33:$F$37,2,0)," ")</f>
        <v>O230117</v>
      </c>
      <c r="Q1073" s="248" t="str">
        <f>IFERROR(VLOOKUP(C1073,TD!$B$33:$F$37,3,0)," ")</f>
        <v>4503</v>
      </c>
      <c r="R1073" s="248">
        <f>IFERROR(VLOOKUP(C1073,TD!$B$33:$F$37,4,0)," ")</f>
        <v>20240255</v>
      </c>
      <c r="S1073" s="341" t="s">
        <v>175</v>
      </c>
      <c r="T1073" s="338" t="str">
        <f>IFERROR(VLOOKUP(S1073,TD!$J$34:$K$44,2,0)," ")</f>
        <v>Servicio de atención a incidentes y emergencias.</v>
      </c>
      <c r="U1073" s="296" t="str">
        <f>CONCATENATE(S1073,"-",T1073)</f>
        <v>04-Servicio de atención a incidentes y emergencias.</v>
      </c>
      <c r="V1073" s="341" t="s">
        <v>232</v>
      </c>
      <c r="W1073" s="338" t="str">
        <f>IFERROR(VLOOKUP(V1073,TD!$N$34:$O$46,2,0)," ")</f>
        <v>Servicio de atención a emergencias y desastres</v>
      </c>
      <c r="X1073" s="249" t="str">
        <f>CONCATENATE(V1073,"_",W1073)</f>
        <v>004_Servicio de atención a emergencias y desastres</v>
      </c>
      <c r="Y1073" s="249" t="str">
        <f>CONCATENATE(U1073," ",X1073)</f>
        <v>04-Servicio de atención a incidentes y emergencias. 004_Servicio de atención a emergencias y desastres</v>
      </c>
      <c r="Z1073" s="248" t="str">
        <f>CONCATENATE(P1073,Q1073,R1073,S1073,V1073)</f>
        <v>O23011745032024025504004</v>
      </c>
      <c r="AA1073" s="248" t="str">
        <f>IFERROR(VLOOKUP(Y1073,TD!$K$47:$L$65,2,0)," ")</f>
        <v>PM/0131/0104/45030040255</v>
      </c>
      <c r="AB1073" s="53" t="s">
        <v>138</v>
      </c>
      <c r="AC1073" s="250" t="s">
        <v>204</v>
      </c>
    </row>
    <row r="1074" spans="2:29" ht="84" x14ac:dyDescent="0.35">
      <c r="B1074" s="137">
        <v>20251179</v>
      </c>
      <c r="C1074" s="138" t="s">
        <v>209</v>
      </c>
      <c r="D1074" s="251" t="s">
        <v>169</v>
      </c>
      <c r="E1074" s="252" t="s">
        <v>465</v>
      </c>
      <c r="F1074" s="292" t="s">
        <v>1340</v>
      </c>
      <c r="G1074" s="292" t="s">
        <v>86</v>
      </c>
      <c r="H1074" s="139" t="s">
        <v>1341</v>
      </c>
      <c r="I1074" s="293">
        <v>11</v>
      </c>
      <c r="J1074" s="293">
        <v>2</v>
      </c>
      <c r="K1074" s="140">
        <v>0</v>
      </c>
      <c r="L1074" s="141">
        <f>64057000-732340</f>
        <v>63324660</v>
      </c>
      <c r="M1074" s="158" t="s">
        <v>1287</v>
      </c>
      <c r="N1074" s="141" t="s">
        <v>123</v>
      </c>
      <c r="O1074" s="252" t="s">
        <v>222</v>
      </c>
      <c r="P1074" s="294" t="str">
        <f>IFERROR(VLOOKUP(C1074,TD!$B$33:$F$37,2,0)," ")</f>
        <v>O230117</v>
      </c>
      <c r="Q1074" s="294" t="str">
        <f>IFERROR(VLOOKUP(C1074,TD!$B$33:$F$37,3,0)," ")</f>
        <v>4503</v>
      </c>
      <c r="R1074" s="294">
        <f>IFERROR(VLOOKUP(C1074,TD!$B$33:$F$37,4,0)," ")</f>
        <v>20240255</v>
      </c>
      <c r="S1074" s="295" t="s">
        <v>189</v>
      </c>
      <c r="T1074" s="294" t="str">
        <f>IFERROR(VLOOKUP(S1074,TD!$J$34:$K$44,2,0)," ")</f>
        <v>Servicio de dotación y equipamento para el personal operativo</v>
      </c>
      <c r="U1074" s="296" t="str">
        <f>CONCATENATE(S1074,"-",T1074)</f>
        <v>10-Servicio de dotación y equipamento para el personal operativo</v>
      </c>
      <c r="V1074" s="295" t="s">
        <v>232</v>
      </c>
      <c r="W1074" s="294" t="str">
        <f>IFERROR(VLOOKUP(V1074,TD!$N$34:$O$46,2,0)," ")</f>
        <v>Servicio de atención a emergencias y desastres</v>
      </c>
      <c r="X1074" s="296" t="str">
        <f>CONCATENATE(V1074,"_",W1074)</f>
        <v>004_Servicio de atención a emergencias y desastres</v>
      </c>
      <c r="Y1074" s="296" t="str">
        <f>CONCATENATE(U1074," ",X1074)</f>
        <v>10-Servicio de dotación y equipamento para el personal operativo 004_Servicio de atención a emergencias y desastres</v>
      </c>
      <c r="Z1074" s="294" t="str">
        <f>CONCATENATE(P1074,Q1074,R1074,S1074,V1074)</f>
        <v>O23011745032024025510004</v>
      </c>
      <c r="AA1074" s="294" t="str">
        <f>IFERROR(VLOOKUP(Y1074,TD!$K$47:$L$65,2,0)," ")</f>
        <v>PM/0131/0110/45030040255</v>
      </c>
      <c r="AB1074" s="125" t="s">
        <v>87</v>
      </c>
      <c r="AC1074" s="297" t="s">
        <v>204</v>
      </c>
    </row>
    <row r="1075" spans="2:29" ht="70" x14ac:dyDescent="0.35">
      <c r="B1075" s="137">
        <v>20251180</v>
      </c>
      <c r="C1075" s="138" t="s">
        <v>209</v>
      </c>
      <c r="D1075" s="251" t="s">
        <v>166</v>
      </c>
      <c r="E1075" s="252" t="s">
        <v>558</v>
      </c>
      <c r="F1075" s="292" t="s">
        <v>1342</v>
      </c>
      <c r="G1075" s="292" t="s">
        <v>96</v>
      </c>
      <c r="H1075" s="139" t="s">
        <v>641</v>
      </c>
      <c r="I1075" s="293">
        <v>11</v>
      </c>
      <c r="J1075" s="293">
        <v>3</v>
      </c>
      <c r="K1075" s="140">
        <v>0</v>
      </c>
      <c r="L1075" s="141">
        <v>164000000</v>
      </c>
      <c r="M1075" s="158" t="s">
        <v>464</v>
      </c>
      <c r="N1075" s="141" t="s">
        <v>90</v>
      </c>
      <c r="O1075" s="252" t="s">
        <v>1025</v>
      </c>
      <c r="P1075" s="294" t="str">
        <f>IFERROR(VLOOKUP(C1075,TD!$B$33:$F$37,2,0)," ")</f>
        <v>O230117</v>
      </c>
      <c r="Q1075" s="294" t="str">
        <f>IFERROR(VLOOKUP(C1075,TD!$B$33:$F$37,3,0)," ")</f>
        <v>4503</v>
      </c>
      <c r="R1075" s="294">
        <f>IFERROR(VLOOKUP(C1075,TD!$B$33:$F$37,4,0)," ")</f>
        <v>20240255</v>
      </c>
      <c r="S1075" s="295" t="s">
        <v>185</v>
      </c>
      <c r="T1075" s="294" t="str">
        <f>IFERROR(VLOOKUP(S1075,TD!$J$34:$K$44,2,0)," ")</f>
        <v>Infraestructura física, mantenimiento y dotación (Sedes construidas, mantenidas reforzadas)</v>
      </c>
      <c r="U1075" s="296" t="str">
        <f>CONCATENATE(S1075,"-",T1075)</f>
        <v>08-Infraestructura física, mantenimiento y dotación (Sedes construidas, mantenidas reforzadas)</v>
      </c>
      <c r="V1075" s="295" t="s">
        <v>236</v>
      </c>
      <c r="W1075" s="294" t="str">
        <f>IFERROR(VLOOKUP(V1075,TD!$N$34:$O$46,2,0)," ")</f>
        <v>Estaciones de bomberos adecuadas</v>
      </c>
      <c r="X1075" s="296" t="str">
        <f>CONCATENATE(V1075,"_",W1075)</f>
        <v>014_Estaciones de bomberos adecuadas</v>
      </c>
      <c r="Y1075" s="296" t="str">
        <f>CONCATENATE(U1075," ",X1075)</f>
        <v>08-Infraestructura física, mantenimiento y dotación (Sedes construidas, mantenidas reforzadas) 014_Estaciones de bomberos adecuadas</v>
      </c>
      <c r="Z1075" s="294" t="str">
        <f>CONCATENATE(P1075,Q1075,R1075,S1075,V1075)</f>
        <v>O23011745032024025508014</v>
      </c>
      <c r="AA1075" s="294" t="str">
        <f>IFERROR(VLOOKUP(Y1075,TD!$K$47:$L$65,2,0)," ")</f>
        <v>PM/0131/0108/45030140255</v>
      </c>
      <c r="AB1075" s="125" t="s">
        <v>87</v>
      </c>
      <c r="AC1075" s="297" t="s">
        <v>204</v>
      </c>
    </row>
    <row r="1076" spans="2:29" ht="56" x14ac:dyDescent="0.35">
      <c r="B1076" s="127">
        <v>20251182</v>
      </c>
      <c r="C1076" s="129" t="s">
        <v>209</v>
      </c>
      <c r="D1076" s="251" t="s">
        <v>166</v>
      </c>
      <c r="E1076" s="252" t="s">
        <v>558</v>
      </c>
      <c r="F1076" s="251" t="s">
        <v>1358</v>
      </c>
      <c r="G1076" s="251" t="s">
        <v>96</v>
      </c>
      <c r="H1076" s="130" t="s">
        <v>1343</v>
      </c>
      <c r="I1076" s="253">
        <v>11</v>
      </c>
      <c r="J1076" s="253">
        <v>3</v>
      </c>
      <c r="K1076" s="126">
        <v>0</v>
      </c>
      <c r="L1076" s="141">
        <v>164000000</v>
      </c>
      <c r="M1076" s="159" t="s">
        <v>464</v>
      </c>
      <c r="N1076" s="125" t="s">
        <v>90</v>
      </c>
      <c r="O1076" s="252" t="s">
        <v>1025</v>
      </c>
      <c r="P1076" s="254" t="str">
        <f>IFERROR(VLOOKUP(C1076,TD!$B$33:$F$37,2,0)," ")</f>
        <v>O230117</v>
      </c>
      <c r="Q1076" s="254" t="str">
        <f>IFERROR(VLOOKUP(C1076,TD!$B$33:$F$37,3,0)," ")</f>
        <v>4503</v>
      </c>
      <c r="R1076" s="254">
        <f>IFERROR(VLOOKUP(C1076,TD!$B$33:$F$37,4,0)," ")</f>
        <v>20240255</v>
      </c>
      <c r="S1076" s="295" t="s">
        <v>185</v>
      </c>
      <c r="T1076" s="294" t="str">
        <f>IFERROR(VLOOKUP(S1076,TD!$J$34:$K$44,2,0)," ")</f>
        <v>Infraestructura física, mantenimiento y dotación (Sedes construidas, mantenidas reforzadas)</v>
      </c>
      <c r="U1076" s="296" t="str">
        <f>CONCATENATE(S1076,"-",T1076)</f>
        <v>08-Infraestructura física, mantenimiento y dotación (Sedes construidas, mantenidas reforzadas)</v>
      </c>
      <c r="V1076" s="295" t="s">
        <v>236</v>
      </c>
      <c r="W1076" s="294" t="str">
        <f>IFERROR(VLOOKUP(V1076,TD!$N$34:$O$46,2,0)," ")</f>
        <v>Estaciones de bomberos adecuadas</v>
      </c>
      <c r="X1076" s="249" t="str">
        <f>CONCATENATE(V1076,"_",W1076)</f>
        <v>014_Estaciones de bomberos adecuadas</v>
      </c>
      <c r="Y1076" s="249" t="str">
        <f>CONCATENATE(U1076," ",X1076)</f>
        <v>08-Infraestructura física, mantenimiento y dotación (Sedes construidas, mantenidas reforzadas) 014_Estaciones de bomberos adecuadas</v>
      </c>
      <c r="Z1076" s="254" t="str">
        <f>CONCATENATE(P1076,Q1076,R1076,S1076,V1076)</f>
        <v>O23011745032024025508014</v>
      </c>
      <c r="AA1076" s="254" t="str">
        <f>IFERROR(VLOOKUP(Y1076,TD!$K$47:$L$65,2,0)," ")</f>
        <v>PM/0131/0108/45030140255</v>
      </c>
      <c r="AB1076" s="125" t="s">
        <v>87</v>
      </c>
      <c r="AC1076" s="255" t="s">
        <v>204</v>
      </c>
    </row>
    <row r="1077" spans="2:29" ht="56" x14ac:dyDescent="0.35">
      <c r="B1077" s="205">
        <v>20251184</v>
      </c>
      <c r="C1077" s="133" t="s">
        <v>209</v>
      </c>
      <c r="D1077" s="342" t="s">
        <v>167</v>
      </c>
      <c r="E1077" s="344" t="s">
        <v>505</v>
      </c>
      <c r="F1077" s="298" t="s">
        <v>1361</v>
      </c>
      <c r="G1077" s="342" t="s">
        <v>133</v>
      </c>
      <c r="H1077" s="207" t="s">
        <v>521</v>
      </c>
      <c r="I1077" s="343">
        <v>11</v>
      </c>
      <c r="J1077" s="343">
        <v>2</v>
      </c>
      <c r="K1077" s="208">
        <v>0</v>
      </c>
      <c r="L1077" s="209">
        <v>93500000</v>
      </c>
      <c r="M1077" s="210" t="s">
        <v>464</v>
      </c>
      <c r="N1077" s="209" t="s">
        <v>90</v>
      </c>
      <c r="O1077" s="266" t="s">
        <v>221</v>
      </c>
      <c r="P1077" s="345" t="str">
        <f>IFERROR(VLOOKUP(C1077,TD!$B$33:$F$37,2,0)," ")</f>
        <v>O230117</v>
      </c>
      <c r="Q1077" s="345" t="str">
        <f>IFERROR(VLOOKUP(C1077,TD!$B$33:$F$37,3,0)," ")</f>
        <v>4503</v>
      </c>
      <c r="R1077" s="345">
        <f>IFERROR(VLOOKUP(C1077,TD!$B$33:$F$37,4,0)," ")</f>
        <v>20240255</v>
      </c>
      <c r="S1077" s="295" t="s">
        <v>177</v>
      </c>
      <c r="T1077" s="294" t="str">
        <f>IFERROR(VLOOKUP(S1077,TD!$J$34:$K$44,2,0)," ")</f>
        <v>Servicio de capacitaciones en gestión del riesgo de incendios  a la ciudadania.</v>
      </c>
      <c r="U1077" s="296" t="str">
        <f>CONCATENATE(S1077,"-",T1077)</f>
        <v>05-Servicio de capacitaciones en gestión del riesgo de incendios  a la ciudadania.</v>
      </c>
      <c r="V1077" s="295" t="s">
        <v>234</v>
      </c>
      <c r="W1077" s="294" t="str">
        <f>IFERROR(VLOOKUP(V1077,TD!$N$34:$O$46,2,0)," ")</f>
        <v>Servicio prevención y control de incendios</v>
      </c>
      <c r="X1077" s="296" t="str">
        <f>CONCATENATE(V1077,"_",W1077)</f>
        <v>035_Servicio prevención y control de incendios</v>
      </c>
      <c r="Y1077" s="296" t="str">
        <f>CONCATENATE(U1077," ",X1077)</f>
        <v>05-Servicio de capacitaciones en gestión del riesgo de incendios  a la ciudadania. 035_Servicio prevención y control de incendios</v>
      </c>
      <c r="Z1077" s="345" t="str">
        <f>CONCATENATE(P1077,Q1077,R1077,S1077,V1077)</f>
        <v>O23011745032024025505035</v>
      </c>
      <c r="AA1077" s="345" t="str">
        <f>IFERROR(VLOOKUP(Y1077,TD!$K$47:$L$65,2,0)," ")</f>
        <v>PM/0131/0105/45030350255</v>
      </c>
      <c r="AB1077" s="209" t="s">
        <v>138</v>
      </c>
      <c r="AC1077" s="346" t="s">
        <v>205</v>
      </c>
    </row>
    <row r="1078" spans="2:29" ht="56" x14ac:dyDescent="0.35">
      <c r="B1078" s="199">
        <v>20251185</v>
      </c>
      <c r="C1078" s="200" t="s">
        <v>209</v>
      </c>
      <c r="D1078" s="265" t="s">
        <v>167</v>
      </c>
      <c r="E1078" s="266" t="s">
        <v>505</v>
      </c>
      <c r="F1078" s="246" t="s">
        <v>1362</v>
      </c>
      <c r="G1078" s="265" t="s">
        <v>133</v>
      </c>
      <c r="H1078" s="201" t="s">
        <v>521</v>
      </c>
      <c r="I1078" s="267">
        <v>11</v>
      </c>
      <c r="J1078" s="267">
        <v>2</v>
      </c>
      <c r="K1078" s="202">
        <v>0</v>
      </c>
      <c r="L1078" s="203">
        <v>18000000</v>
      </c>
      <c r="M1078" s="204" t="s">
        <v>464</v>
      </c>
      <c r="N1078" s="203" t="s">
        <v>90</v>
      </c>
      <c r="O1078" s="266" t="s">
        <v>221</v>
      </c>
      <c r="P1078" s="268" t="str">
        <f>IFERROR(VLOOKUP(C1078,TD!$B$33:$F$37,2,0)," ")</f>
        <v>O230117</v>
      </c>
      <c r="Q1078" s="268" t="str">
        <f>IFERROR(VLOOKUP(C1078,TD!$B$33:$F$37,3,0)," ")</f>
        <v>4503</v>
      </c>
      <c r="R1078" s="268">
        <f>IFERROR(VLOOKUP(C1078,TD!$B$33:$F$37,4,0)," ")</f>
        <v>20240255</v>
      </c>
      <c r="S1078" s="295" t="s">
        <v>177</v>
      </c>
      <c r="T1078" s="294" t="str">
        <f>IFERROR(VLOOKUP(S1078,TD!$J$34:$K$44,2,0)," ")</f>
        <v>Servicio de capacitaciones en gestión del riesgo de incendios  a la ciudadania.</v>
      </c>
      <c r="U1078" s="296" t="str">
        <f>CONCATENATE(S1078,"-",T1078)</f>
        <v>05-Servicio de capacitaciones en gestión del riesgo de incendios  a la ciudadania.</v>
      </c>
      <c r="V1078" s="295" t="s">
        <v>234</v>
      </c>
      <c r="W1078" s="294" t="str">
        <f>IFERROR(VLOOKUP(V1078,TD!$N$34:$O$46,2,0)," ")</f>
        <v>Servicio prevención y control de incendios</v>
      </c>
      <c r="X1078" s="249" t="str">
        <f>CONCATENATE(V1078,"_",W1078)</f>
        <v>035_Servicio prevención y control de incendios</v>
      </c>
      <c r="Y1078" s="249" t="str">
        <f>CONCATENATE(U1078," ",X1078)</f>
        <v>05-Servicio de capacitaciones en gestión del riesgo de incendios  a la ciudadania. 035_Servicio prevención y control de incendios</v>
      </c>
      <c r="Z1078" s="268" t="str">
        <f>CONCATENATE(P1078,Q1078,R1078,S1078,V1078)</f>
        <v>O23011745032024025505035</v>
      </c>
      <c r="AA1078" s="268" t="str">
        <f>IFERROR(VLOOKUP(Y1078,TD!$K$47:$L$65,2,0)," ")</f>
        <v>PM/0131/0105/45030350255</v>
      </c>
      <c r="AB1078" s="203" t="s">
        <v>138</v>
      </c>
      <c r="AC1078" s="269" t="s">
        <v>205</v>
      </c>
    </row>
    <row r="1079" spans="2:29" ht="56" x14ac:dyDescent="0.35">
      <c r="B1079" s="205">
        <v>20251186</v>
      </c>
      <c r="C1079" s="200" t="s">
        <v>209</v>
      </c>
      <c r="D1079" s="265" t="s">
        <v>167</v>
      </c>
      <c r="E1079" s="266" t="s">
        <v>505</v>
      </c>
      <c r="F1079" s="298" t="s">
        <v>1348</v>
      </c>
      <c r="G1079" s="342" t="s">
        <v>133</v>
      </c>
      <c r="H1079" s="207" t="s">
        <v>375</v>
      </c>
      <c r="I1079" s="343">
        <v>12</v>
      </c>
      <c r="J1079" s="343">
        <v>2</v>
      </c>
      <c r="K1079" s="208">
        <v>0</v>
      </c>
      <c r="L1079" s="131">
        <f>126382915+3849069+6660000+183333</f>
        <v>137075317</v>
      </c>
      <c r="M1079" s="210" t="s">
        <v>464</v>
      </c>
      <c r="N1079" s="209" t="s">
        <v>90</v>
      </c>
      <c r="O1079" s="266" t="s">
        <v>221</v>
      </c>
      <c r="P1079" s="345" t="str">
        <f>IFERROR(VLOOKUP(C1079,TD!$B$33:$F$37,2,0)," ")</f>
        <v>O230117</v>
      </c>
      <c r="Q1079" s="345" t="str">
        <f>IFERROR(VLOOKUP(C1079,TD!$B$33:$F$37,3,0)," ")</f>
        <v>4503</v>
      </c>
      <c r="R1079" s="345">
        <f>IFERROR(VLOOKUP(C1079,TD!$B$33:$F$37,4,0)," ")</f>
        <v>20240255</v>
      </c>
      <c r="S1079" s="295" t="s">
        <v>177</v>
      </c>
      <c r="T1079" s="294" t="str">
        <f>IFERROR(VLOOKUP(S1079,TD!$J$34:$K$44,2,0)," ")</f>
        <v>Servicio de capacitaciones en gestión del riesgo de incendios  a la ciudadania.</v>
      </c>
      <c r="U1079" s="296" t="str">
        <f>CONCATENATE(S1079,"-",T1079)</f>
        <v>05-Servicio de capacitaciones en gestión del riesgo de incendios  a la ciudadania.</v>
      </c>
      <c r="V1079" s="295" t="s">
        <v>233</v>
      </c>
      <c r="W1079" s="294" t="str">
        <f>IFERROR(VLOOKUP(V1079,TD!$N$34:$O$46,2,0)," ")</f>
        <v>Servicio de educación informal</v>
      </c>
      <c r="X1079" s="296" t="str">
        <f>CONCATENATE(V1079,"_",W1079)</f>
        <v>002_Servicio de educación informal</v>
      </c>
      <c r="Y1079" s="296" t="str">
        <f>CONCATENATE(U1079," ",X1079)</f>
        <v>05-Servicio de capacitaciones en gestión del riesgo de incendios  a la ciudadania. 002_Servicio de educación informal</v>
      </c>
      <c r="Z1079" s="345" t="str">
        <f>CONCATENATE(P1079,Q1079,R1079,S1079,V1079)</f>
        <v>O23011745032024025505002</v>
      </c>
      <c r="AA1079" s="345" t="str">
        <f>IFERROR(VLOOKUP(Y1079,TD!$K$47:$L$65,2,0)," ")</f>
        <v>PM/0131/0105/45030020255</v>
      </c>
      <c r="AB1079" s="209" t="s">
        <v>138</v>
      </c>
      <c r="AC1079" s="346" t="s">
        <v>205</v>
      </c>
    </row>
    <row r="1080" spans="2:29" ht="56" x14ac:dyDescent="0.35">
      <c r="B1080" s="205">
        <v>20251187</v>
      </c>
      <c r="C1080" s="206" t="s">
        <v>208</v>
      </c>
      <c r="D1080" s="342" t="s">
        <v>45</v>
      </c>
      <c r="E1080" s="344" t="s">
        <v>355</v>
      </c>
      <c r="F1080" s="342" t="s">
        <v>927</v>
      </c>
      <c r="G1080" s="342" t="s">
        <v>156</v>
      </c>
      <c r="H1080" s="434">
        <v>80111600</v>
      </c>
      <c r="I1080" s="342">
        <v>11</v>
      </c>
      <c r="J1080" s="342">
        <v>2</v>
      </c>
      <c r="K1080" s="443">
        <v>15</v>
      </c>
      <c r="L1080" s="209">
        <v>9383795</v>
      </c>
      <c r="M1080" s="210" t="s">
        <v>464</v>
      </c>
      <c r="N1080" s="209" t="s">
        <v>113</v>
      </c>
      <c r="O1080" s="344" t="s">
        <v>219</v>
      </c>
      <c r="P1080" s="345" t="str">
        <f>IFERROR(VLOOKUP(C1080,TD!$B$33:$F$37,2,0)," ")</f>
        <v>O230117</v>
      </c>
      <c r="Q1080" s="345" t="str">
        <f>IFERROR(VLOOKUP(C1080,TD!$B$33:$F$37,3,0)," ")</f>
        <v>4599</v>
      </c>
      <c r="R1080" s="345">
        <f>IFERROR(VLOOKUP(C1080,TD!$B$33:$F$37,4,0)," ")</f>
        <v>20240207</v>
      </c>
      <c r="S1080" s="295" t="s">
        <v>185</v>
      </c>
      <c r="T1080" s="294" t="str">
        <f>IFERROR(VLOOKUP(S1080,TD!$J$34:$K$44,2,0)," ")</f>
        <v>Infraestructura física, mantenimiento y dotación (Sedes construidas, mantenidas reforzadas)</v>
      </c>
      <c r="U1080" s="296" t="str">
        <f>CONCATENATE(S1080,"-",T1080)</f>
        <v>08-Infraestructura física, mantenimiento y dotación (Sedes construidas, mantenidas reforzadas)</v>
      </c>
      <c r="V1080" s="295" t="s">
        <v>238</v>
      </c>
      <c r="W1080" s="294" t="str">
        <f>IFERROR(VLOOKUP(V1080,TD!$N$34:$O$46,2,0)," ")</f>
        <v>Sedes mantenidas</v>
      </c>
      <c r="X1080" s="296" t="str">
        <f>CONCATENATE(V1080,"_",W1080)</f>
        <v>016_Sedes mantenidas</v>
      </c>
      <c r="Y1080" s="296" t="str">
        <f>CONCATENATE(U1080," ",X1080)</f>
        <v>08-Infraestructura física, mantenimiento y dotación (Sedes construidas, mantenidas reforzadas) 016_Sedes mantenidas</v>
      </c>
      <c r="Z1080" s="345" t="str">
        <f>CONCATENATE(P1080,Q1080,R1080,S1080,V1080)</f>
        <v>O23011745992024020708016</v>
      </c>
      <c r="AA1080" s="345" t="str">
        <f>IFERROR(VLOOKUP(Y1080,TD!$K$47:$L$65,2,0)," ")</f>
        <v>PM/0131/0108/45990160207</v>
      </c>
      <c r="AB1080" s="209" t="s">
        <v>138</v>
      </c>
      <c r="AC1080" s="346" t="s">
        <v>204</v>
      </c>
    </row>
    <row r="1081" spans="2:29" ht="56" x14ac:dyDescent="0.35">
      <c r="B1081" s="199">
        <v>20251188</v>
      </c>
      <c r="C1081" s="200" t="s">
        <v>208</v>
      </c>
      <c r="D1081" s="265" t="s">
        <v>164</v>
      </c>
      <c r="E1081" s="266" t="s">
        <v>389</v>
      </c>
      <c r="F1081" s="265" t="s">
        <v>1349</v>
      </c>
      <c r="G1081" s="265" t="s">
        <v>155</v>
      </c>
      <c r="H1081" s="201">
        <v>80111600</v>
      </c>
      <c r="I1081" s="267">
        <v>11</v>
      </c>
      <c r="J1081" s="267">
        <v>2</v>
      </c>
      <c r="K1081" s="202">
        <v>0</v>
      </c>
      <c r="L1081" s="203">
        <v>13600000</v>
      </c>
      <c r="M1081" s="204" t="s">
        <v>464</v>
      </c>
      <c r="N1081" s="203" t="s">
        <v>113</v>
      </c>
      <c r="O1081" s="266" t="s">
        <v>219</v>
      </c>
      <c r="P1081" s="268" t="str">
        <f>IFERROR(VLOOKUP(C1081,TD!$B$33:$F$37,2,0)," ")</f>
        <v>O230117</v>
      </c>
      <c r="Q1081" s="268" t="str">
        <f>IFERROR(VLOOKUP(C1081,TD!$B$33:$F$37,3,0)," ")</f>
        <v>4599</v>
      </c>
      <c r="R1081" s="268">
        <f>IFERROR(VLOOKUP(C1081,TD!$B$33:$F$37,4,0)," ")</f>
        <v>20240207</v>
      </c>
      <c r="S1081" s="252" t="s">
        <v>185</v>
      </c>
      <c r="T1081" s="294" t="str">
        <f>IFERROR(VLOOKUP(S1081,TD!$J$34:$K$44,2,0)," ")</f>
        <v>Infraestructura física, mantenimiento y dotación (Sedes construidas, mantenidas reforzadas)</v>
      </c>
      <c r="U1081" s="249" t="str">
        <f>CONCATENATE(S1081,"-",T1081)</f>
        <v>08-Infraestructura física, mantenimiento y dotación (Sedes construidas, mantenidas reforzadas)</v>
      </c>
      <c r="V1081" s="252" t="s">
        <v>238</v>
      </c>
      <c r="W1081" s="294" t="str">
        <f>IFERROR(VLOOKUP(V1081,TD!$N$34:$O$46,2,0)," ")</f>
        <v>Sedes mantenidas</v>
      </c>
      <c r="X1081" s="249" t="str">
        <f>CONCATENATE(V1081,"_",W1081)</f>
        <v>016_Sedes mantenidas</v>
      </c>
      <c r="Y1081" s="249" t="str">
        <f>CONCATENATE(U1081," ",X1081)</f>
        <v>08-Infraestructura física, mantenimiento y dotación (Sedes construidas, mantenidas reforzadas) 016_Sedes mantenidas</v>
      </c>
      <c r="Z1081" s="268" t="str">
        <f>CONCATENATE(P1081,Q1081,R1081,S1081,V1081)</f>
        <v>O23011745992024020708016</v>
      </c>
      <c r="AA1081" s="268" t="str">
        <f>IFERROR(VLOOKUP(Y1081,TD!$K$47:$L$65,2,0)," ")</f>
        <v>PM/0131/0108/45990160207</v>
      </c>
      <c r="AB1081" s="203" t="s">
        <v>138</v>
      </c>
      <c r="AC1081" s="269" t="s">
        <v>204</v>
      </c>
    </row>
    <row r="1082" spans="2:29" ht="98" x14ac:dyDescent="0.35">
      <c r="B1082" s="205">
        <v>20251189</v>
      </c>
      <c r="C1082" s="200" t="s">
        <v>208</v>
      </c>
      <c r="D1082" s="265" t="s">
        <v>162</v>
      </c>
      <c r="E1082" s="266" t="s">
        <v>355</v>
      </c>
      <c r="F1082" s="342" t="s">
        <v>1353</v>
      </c>
      <c r="G1082" s="342" t="s">
        <v>154</v>
      </c>
      <c r="H1082" s="207" t="s">
        <v>1354</v>
      </c>
      <c r="I1082" s="343">
        <v>12</v>
      </c>
      <c r="J1082" s="343">
        <v>6</v>
      </c>
      <c r="K1082" s="208">
        <v>0</v>
      </c>
      <c r="L1082" s="209">
        <v>23950200</v>
      </c>
      <c r="M1082" s="210" t="s">
        <v>464</v>
      </c>
      <c r="N1082" s="209" t="s">
        <v>100</v>
      </c>
      <c r="O1082" s="344" t="s">
        <v>214</v>
      </c>
      <c r="P1082" s="345" t="str">
        <f>IFERROR(VLOOKUP(C1082,TD!$B$33:$F$37,2,0)," ")</f>
        <v>O230117</v>
      </c>
      <c r="Q1082" s="345" t="str">
        <f>IFERROR(VLOOKUP(C1082,TD!$B$33:$F$37,3,0)," ")</f>
        <v>4599</v>
      </c>
      <c r="R1082" s="345">
        <f>IFERROR(VLOOKUP(C1082,TD!$B$33:$F$37,4,0)," ")</f>
        <v>20240207</v>
      </c>
      <c r="S1082" s="295" t="s">
        <v>179</v>
      </c>
      <c r="T1082" s="294" t="str">
        <f>IFERROR(VLOOKUP(S1082,TD!$J$34:$K$44,2,0)," ")</f>
        <v>Infraestructura Tecnológica   (Sistemas de Información y Tecnologia)</v>
      </c>
      <c r="U1082" s="296" t="str">
        <f>CONCATENATE(S1082,"-",T1082)</f>
        <v>11-Infraestructura Tecnológica   (Sistemas de Información y Tecnologia)</v>
      </c>
      <c r="V1082" s="252" t="s">
        <v>239</v>
      </c>
      <c r="W1082" s="294" t="str">
        <f>IFERROR(VLOOKUP(V1082,TD!$N$34:$O$46,2,0)," ")</f>
        <v>Servicios tecnológicos</v>
      </c>
      <c r="X1082" s="296" t="str">
        <f>CONCATENATE(V1082,"_",W1082)</f>
        <v>007_Servicios tecnológicos</v>
      </c>
      <c r="Y1082" s="296" t="str">
        <f>CONCATENATE(U1082," ",X1082)</f>
        <v>11-Infraestructura Tecnológica   (Sistemas de Información y Tecnologia) 007_Servicios tecnológicos</v>
      </c>
      <c r="Z1082" s="345" t="str">
        <f>CONCATENATE(P1082,Q1082,R1082,S1082,V1082)</f>
        <v>O23011745992024020711007</v>
      </c>
      <c r="AA1082" s="345" t="str">
        <f>IFERROR(VLOOKUP(Y1082,TD!$K$47:$L$65,2,0)," ")</f>
        <v>PM/0131/0111/45990070207</v>
      </c>
      <c r="AB1082" s="209" t="s">
        <v>138</v>
      </c>
      <c r="AC1082" s="346" t="s">
        <v>205</v>
      </c>
    </row>
    <row r="1083" spans="2:29" ht="56" x14ac:dyDescent="0.35">
      <c r="B1083" s="205">
        <v>20251190</v>
      </c>
      <c r="C1083" s="200" t="s">
        <v>208</v>
      </c>
      <c r="D1083" s="265" t="s">
        <v>162</v>
      </c>
      <c r="E1083" s="266" t="s">
        <v>355</v>
      </c>
      <c r="F1083" s="342" t="s">
        <v>1355</v>
      </c>
      <c r="G1083" s="342" t="s">
        <v>154</v>
      </c>
      <c r="H1083" s="207" t="s">
        <v>1356</v>
      </c>
      <c r="I1083" s="343">
        <v>12</v>
      </c>
      <c r="J1083" s="343">
        <v>6</v>
      </c>
      <c r="K1083" s="208">
        <v>0</v>
      </c>
      <c r="L1083" s="209">
        <v>19275000</v>
      </c>
      <c r="M1083" s="210" t="s">
        <v>464</v>
      </c>
      <c r="N1083" s="209" t="s">
        <v>100</v>
      </c>
      <c r="O1083" s="344" t="s">
        <v>214</v>
      </c>
      <c r="P1083" s="345" t="str">
        <f>IFERROR(VLOOKUP(C1083,TD!$B$33:$F$37,2,0)," ")</f>
        <v>O230117</v>
      </c>
      <c r="Q1083" s="345" t="str">
        <f>IFERROR(VLOOKUP(C1083,TD!$B$33:$F$37,3,0)," ")</f>
        <v>4599</v>
      </c>
      <c r="R1083" s="345">
        <f>IFERROR(VLOOKUP(C1083,TD!$B$33:$F$37,4,0)," ")</f>
        <v>20240207</v>
      </c>
      <c r="S1083" s="295" t="s">
        <v>179</v>
      </c>
      <c r="T1083" s="294" t="str">
        <f>IFERROR(VLOOKUP(S1083,TD!$J$34:$K$44,2,0)," ")</f>
        <v>Infraestructura Tecnológica   (Sistemas de Información y Tecnologia)</v>
      </c>
      <c r="U1083" s="296" t="str">
        <f>CONCATENATE(S1083,"-",T1083)</f>
        <v>11-Infraestructura Tecnológica   (Sistemas de Información y Tecnologia)</v>
      </c>
      <c r="V1083" s="295" t="s">
        <v>239</v>
      </c>
      <c r="W1083" s="294" t="str">
        <f>IFERROR(VLOOKUP(V1083,TD!$N$34:$O$46,2,0)," ")</f>
        <v>Servicios tecnológicos</v>
      </c>
      <c r="X1083" s="296" t="str">
        <f>CONCATENATE(V1083,"_",W1083)</f>
        <v>007_Servicios tecnológicos</v>
      </c>
      <c r="Y1083" s="296" t="str">
        <f>CONCATENATE(U1083," ",X1083)</f>
        <v>11-Infraestructura Tecnológica   (Sistemas de Información y Tecnologia) 007_Servicios tecnológicos</v>
      </c>
      <c r="Z1083" s="345" t="str">
        <f>CONCATENATE(P1083,Q1083,R1083,S1083,V1083)</f>
        <v>O23011745992024020711007</v>
      </c>
      <c r="AA1083" s="345" t="str">
        <f>IFERROR(VLOOKUP(Y1083,TD!$K$47:$L$65,2,0)," ")</f>
        <v>PM/0131/0111/45990070207</v>
      </c>
      <c r="AB1083" s="209" t="s">
        <v>125</v>
      </c>
      <c r="AC1083" s="346" t="s">
        <v>205</v>
      </c>
    </row>
    <row r="1084" spans="2:29" ht="70" x14ac:dyDescent="0.35">
      <c r="B1084" s="127">
        <v>20251191</v>
      </c>
      <c r="C1084" s="129" t="s">
        <v>209</v>
      </c>
      <c r="D1084" s="251" t="s">
        <v>168</v>
      </c>
      <c r="E1084" s="252" t="s">
        <v>600</v>
      </c>
      <c r="F1084" s="251" t="s">
        <v>1363</v>
      </c>
      <c r="G1084" s="251" t="s">
        <v>96</v>
      </c>
      <c r="H1084" s="130">
        <v>25172500</v>
      </c>
      <c r="I1084" s="253">
        <v>11</v>
      </c>
      <c r="J1084" s="253">
        <v>5</v>
      </c>
      <c r="K1084" s="126">
        <v>0</v>
      </c>
      <c r="L1084" s="125">
        <v>64000000</v>
      </c>
      <c r="M1084" s="159" t="s">
        <v>464</v>
      </c>
      <c r="N1084" s="125" t="s">
        <v>100</v>
      </c>
      <c r="O1084" s="252" t="s">
        <v>224</v>
      </c>
      <c r="P1084" s="254" t="str">
        <f>IFERROR(VLOOKUP(C1084,TD!$B$33:$F$37,2,0)," ")</f>
        <v>O230117</v>
      </c>
      <c r="Q1084" s="254" t="str">
        <f>IFERROR(VLOOKUP(C1084,TD!$B$33:$F$37,3,0)," ")</f>
        <v>4503</v>
      </c>
      <c r="R1084" s="254">
        <f>IFERROR(VLOOKUP(C1084,TD!$B$33:$F$37,4,0)," ")</f>
        <v>20240255</v>
      </c>
      <c r="S1084" s="252" t="s">
        <v>187</v>
      </c>
      <c r="T1084" s="294" t="str">
        <f>IFERROR(VLOOKUP(S1084,TD!$J$34:$K$44,2,0)," ")</f>
        <v>Servicio de mantenimiento, dotación (HEA´s y equipo menor) y adquisición de vehiculos   especializados para la atención de emergencias.</v>
      </c>
      <c r="U1084" s="249" t="str">
        <f>CONCATENATE(S1084,"-",T1084)</f>
        <v>09-Servicio de mantenimiento, dotación (HEA´s y equipo menor) y adquisición de vehiculos   especializados para la atención de emergencias.</v>
      </c>
      <c r="V1084" s="252" t="s">
        <v>232</v>
      </c>
      <c r="W1084" s="294" t="str">
        <f>IFERROR(VLOOKUP(V1084,TD!$N$34:$O$46,2,0)," ")</f>
        <v>Servicio de atención a emergencias y desastres</v>
      </c>
      <c r="X1084" s="249" t="str">
        <f>CONCATENATE(V1084,"_",W1084)</f>
        <v>004_Servicio de atención a emergencias y desastres</v>
      </c>
      <c r="Y1084" s="249" t="str">
        <f>CONCATENATE(U1084," ",X1084)</f>
        <v>09-Servicio de mantenimiento, dotación (HEA´s y equipo menor) y adquisición de vehiculos   especializados para la atención de emergencias. 004_Servicio de atención a emergencias y desastres</v>
      </c>
      <c r="Z1084" s="254" t="str">
        <f>CONCATENATE(P1084,Q1084,R1084,S1084,V1084)</f>
        <v>O23011745032024025509004</v>
      </c>
      <c r="AA1084" s="254" t="str">
        <f>IFERROR(VLOOKUP(Y1084,TD!$K$47:$L$65,2,0)," ")</f>
        <v>PM/0131/0109/45030040255</v>
      </c>
      <c r="AB1084" s="125" t="s">
        <v>87</v>
      </c>
      <c r="AC1084" s="255" t="s">
        <v>204</v>
      </c>
    </row>
    <row r="1085" spans="2:29" ht="70" x14ac:dyDescent="0.35">
      <c r="B1085" s="218">
        <v>20251192</v>
      </c>
      <c r="C1085" s="213" t="s">
        <v>208</v>
      </c>
      <c r="D1085" s="270" t="s">
        <v>164</v>
      </c>
      <c r="E1085" s="271" t="s">
        <v>389</v>
      </c>
      <c r="F1085" s="347" t="s">
        <v>705</v>
      </c>
      <c r="G1085" s="347" t="s">
        <v>155</v>
      </c>
      <c r="H1085" s="222">
        <v>80111600</v>
      </c>
      <c r="I1085" s="349">
        <v>8</v>
      </c>
      <c r="J1085" s="349">
        <v>3</v>
      </c>
      <c r="K1085" s="224">
        <v>0</v>
      </c>
      <c r="L1085" s="226">
        <v>24800000</v>
      </c>
      <c r="M1085" s="228" t="s">
        <v>464</v>
      </c>
      <c r="N1085" s="226" t="s">
        <v>113</v>
      </c>
      <c r="O1085" s="348" t="s">
        <v>219</v>
      </c>
      <c r="P1085" s="350" t="str">
        <f>IFERROR(VLOOKUP(C1085,TD!$B$33:$F$37,2,0)," ")</f>
        <v>O230117</v>
      </c>
      <c r="Q1085" s="350" t="str">
        <f>IFERROR(VLOOKUP(C1085,TD!$B$33:$F$37,3,0)," ")</f>
        <v>4599</v>
      </c>
      <c r="R1085" s="350">
        <f>IFERROR(VLOOKUP(C1085,TD!$B$33:$F$37,4,0)," ")</f>
        <v>20240207</v>
      </c>
      <c r="S1085" s="348" t="s">
        <v>185</v>
      </c>
      <c r="T1085" s="294" t="str">
        <f>IFERROR(VLOOKUP(S1085,TD!$J$34:$K$44,2,0)," ")</f>
        <v>Infraestructura física, mantenimiento y dotación (Sedes construidas, mantenidas reforzadas)</v>
      </c>
      <c r="U1085" s="296" t="str">
        <f>CONCATENATE(S1085,"-",T1085)</f>
        <v>08-Infraestructura física, mantenimiento y dotación (Sedes construidas, mantenidas reforzadas)</v>
      </c>
      <c r="V1085" s="302" t="s">
        <v>238</v>
      </c>
      <c r="W1085" s="294" t="str">
        <f>IFERROR(VLOOKUP(V1085,TD!$N$34:$O$46,2,0)," ")</f>
        <v>Sedes mantenidas</v>
      </c>
      <c r="X1085" s="296" t="str">
        <f>CONCATENATE(V1085,"_",W1085)</f>
        <v>016_Sedes mantenidas</v>
      </c>
      <c r="Y1085" s="296" t="str">
        <f>CONCATENATE(U1085," ",X1085)</f>
        <v>08-Infraestructura física, mantenimiento y dotación (Sedes construidas, mantenidas reforzadas) 016_Sedes mantenidas</v>
      </c>
      <c r="Z1085" s="350" t="str">
        <f>CONCATENATE(P1085,Q1085,R1085,S1085,V1085)</f>
        <v>O23011745992024020708016</v>
      </c>
      <c r="AA1085" s="350" t="str">
        <f>IFERROR(VLOOKUP(Y1085,TD!$K$47:$L$65,2,0)," ")</f>
        <v>PM/0131/0108/45990160207</v>
      </c>
      <c r="AB1085" s="216" t="s">
        <v>120</v>
      </c>
      <c r="AC1085" s="274" t="s">
        <v>204</v>
      </c>
    </row>
    <row r="1086" spans="2:29" ht="42" x14ac:dyDescent="0.35">
      <c r="B1086" s="212">
        <v>20251193</v>
      </c>
      <c r="C1086" s="213" t="s">
        <v>208</v>
      </c>
      <c r="D1086" s="270" t="s">
        <v>164</v>
      </c>
      <c r="E1086" s="271" t="s">
        <v>389</v>
      </c>
      <c r="F1086" s="270" t="s">
        <v>1365</v>
      </c>
      <c r="G1086" s="270" t="s">
        <v>155</v>
      </c>
      <c r="H1086" s="214">
        <v>80111600</v>
      </c>
      <c r="I1086" s="272">
        <v>8</v>
      </c>
      <c r="J1086" s="272">
        <v>5</v>
      </c>
      <c r="K1086" s="215">
        <v>0</v>
      </c>
      <c r="L1086" s="216">
        <v>7584000</v>
      </c>
      <c r="M1086" s="217" t="s">
        <v>464</v>
      </c>
      <c r="N1086" s="216" t="s">
        <v>113</v>
      </c>
      <c r="O1086" s="271" t="s">
        <v>219</v>
      </c>
      <c r="P1086" s="273" t="str">
        <f>IFERROR(VLOOKUP(C1086,TD!$B$33:$F$37,2,0)," ")</f>
        <v>O230117</v>
      </c>
      <c r="Q1086" s="273" t="str">
        <f>IFERROR(VLOOKUP(C1086,TD!$B$33:$F$37,3,0)," ")</f>
        <v>4599</v>
      </c>
      <c r="R1086" s="273">
        <f>IFERROR(VLOOKUP(C1086,TD!$B$33:$F$37,4,0)," ")</f>
        <v>20240207</v>
      </c>
      <c r="S1086" s="271" t="s">
        <v>185</v>
      </c>
      <c r="T1086" s="294" t="str">
        <f>IFERROR(VLOOKUP(S1086,TD!$J$34:$K$44,2,0)," ")</f>
        <v>Infraestructura física, mantenimiento y dotación (Sedes construidas, mantenidas reforzadas)</v>
      </c>
      <c r="U1086" s="249" t="str">
        <f>CONCATENATE(S1086,"-",T1086)</f>
        <v>08-Infraestructura física, mantenimiento y dotación (Sedes construidas, mantenidas reforzadas)</v>
      </c>
      <c r="V1086" s="51" t="s">
        <v>238</v>
      </c>
      <c r="W1086" s="294" t="str">
        <f>IFERROR(VLOOKUP(V1086,TD!$N$34:$O$46,2,0)," ")</f>
        <v>Sedes mantenidas</v>
      </c>
      <c r="X1086" s="249" t="str">
        <f>CONCATENATE(V1086,"_",W1086)</f>
        <v>016_Sedes mantenidas</v>
      </c>
      <c r="Y1086" s="249" t="str">
        <f>CONCATENATE(U1086," ",X1086)</f>
        <v>08-Infraestructura física, mantenimiento y dotación (Sedes construidas, mantenidas reforzadas) 016_Sedes mantenidas</v>
      </c>
      <c r="Z1086" s="273" t="str">
        <f>CONCATENATE(P1086,Q1086,R1086,S1086,V1086)</f>
        <v>O23011745992024020708016</v>
      </c>
      <c r="AA1086" s="273" t="str">
        <f>IFERROR(VLOOKUP(Y1086,TD!$K$47:$L$65,2,0)," ")</f>
        <v>PM/0131/0108/45990160207</v>
      </c>
      <c r="AB1086" s="216" t="s">
        <v>120</v>
      </c>
      <c r="AC1086" s="274" t="s">
        <v>205</v>
      </c>
    </row>
    <row r="1087" spans="2:29" ht="126" x14ac:dyDescent="0.35">
      <c r="B1087" s="218">
        <v>20251194</v>
      </c>
      <c r="C1087" s="422" t="s">
        <v>208</v>
      </c>
      <c r="D1087" s="347" t="s">
        <v>164</v>
      </c>
      <c r="E1087" s="348" t="s">
        <v>389</v>
      </c>
      <c r="F1087" s="298" t="s">
        <v>1370</v>
      </c>
      <c r="G1087" s="347" t="s">
        <v>155</v>
      </c>
      <c r="H1087" s="222">
        <v>80111600</v>
      </c>
      <c r="I1087" s="349">
        <v>8</v>
      </c>
      <c r="J1087" s="349">
        <v>5</v>
      </c>
      <c r="K1087" s="224">
        <v>0</v>
      </c>
      <c r="L1087" s="226">
        <v>10200000</v>
      </c>
      <c r="M1087" s="228" t="s">
        <v>464</v>
      </c>
      <c r="N1087" s="226" t="s">
        <v>113</v>
      </c>
      <c r="O1087" s="348" t="s">
        <v>219</v>
      </c>
      <c r="P1087" s="350" t="str">
        <f>IFERROR(VLOOKUP(C1087,TD!$B$33:$F$37,2,0)," ")</f>
        <v>O230117</v>
      </c>
      <c r="Q1087" s="350" t="str">
        <f>IFERROR(VLOOKUP(C1087,TD!$B$33:$F$37,3,0)," ")</f>
        <v>4599</v>
      </c>
      <c r="R1087" s="350">
        <f>IFERROR(VLOOKUP(C1087,TD!$B$33:$F$37,4,0)," ")</f>
        <v>20240207</v>
      </c>
      <c r="S1087" s="271" t="s">
        <v>185</v>
      </c>
      <c r="T1087" s="254" t="str">
        <f>IFERROR(VLOOKUP(S1087,TD!$J$34:$K$44,2,0)," ")</f>
        <v>Infraestructura física, mantenimiento y dotación (Sedes construidas, mantenidas reforzadas)</v>
      </c>
      <c r="U1087" s="296" t="str">
        <f>CONCATENATE(S1087,"-",T1087)</f>
        <v>08-Infraestructura física, mantenimiento y dotación (Sedes construidas, mantenidas reforzadas)</v>
      </c>
      <c r="V1087" s="51" t="s">
        <v>238</v>
      </c>
      <c r="W1087" s="254" t="str">
        <f>IFERROR(VLOOKUP(V1087,TD!$N$34:$O$46,2,0)," ")</f>
        <v>Sedes mantenidas</v>
      </c>
      <c r="X1087" s="296" t="str">
        <f>CONCATENATE(V1087,"_",W1087)</f>
        <v>016_Sedes mantenidas</v>
      </c>
      <c r="Y1087" s="296" t="str">
        <f>CONCATENATE(U1087," ",X1087)</f>
        <v>08-Infraestructura física, mantenimiento y dotación (Sedes construidas, mantenidas reforzadas) 016_Sedes mantenidas</v>
      </c>
      <c r="Z1087" s="350" t="str">
        <f>CONCATENATE(P1087,Q1087,R1087,S1087,V1087)</f>
        <v>O23011745992024020708016</v>
      </c>
      <c r="AA1087" s="350" t="str">
        <f>IFERROR(VLOOKUP(Y1087,TD!$K$47:$L$65,2,0)," ")</f>
        <v>PM/0131/0108/45990160207</v>
      </c>
      <c r="AB1087" s="216" t="s">
        <v>120</v>
      </c>
      <c r="AC1087" s="274" t="s">
        <v>205</v>
      </c>
    </row>
    <row r="1088" spans="2:29" ht="70" x14ac:dyDescent="0.35">
      <c r="B1088" s="218">
        <v>20251195</v>
      </c>
      <c r="C1088" s="422" t="s">
        <v>209</v>
      </c>
      <c r="D1088" s="347" t="s">
        <v>165</v>
      </c>
      <c r="E1088" s="348" t="s">
        <v>484</v>
      </c>
      <c r="F1088" s="347" t="s">
        <v>1367</v>
      </c>
      <c r="G1088" s="347" t="s">
        <v>96</v>
      </c>
      <c r="H1088" s="222" t="s">
        <v>486</v>
      </c>
      <c r="I1088" s="349">
        <v>11</v>
      </c>
      <c r="J1088" s="349">
        <v>3</v>
      </c>
      <c r="K1088" s="224">
        <v>0</v>
      </c>
      <c r="L1088" s="226">
        <v>93232195</v>
      </c>
      <c r="M1088" s="228" t="s">
        <v>464</v>
      </c>
      <c r="N1088" s="226" t="s">
        <v>113</v>
      </c>
      <c r="O1088" s="348" t="s">
        <v>229</v>
      </c>
      <c r="P1088" s="350" t="str">
        <f>IFERROR(VLOOKUP(C1088,TD!$B$33:$F$37,2,0)," ")</f>
        <v>O230117</v>
      </c>
      <c r="Q1088" s="350" t="str">
        <f>IFERROR(VLOOKUP(C1088,TD!$B$33:$F$37,3,0)," ")</f>
        <v>4503</v>
      </c>
      <c r="R1088" s="350">
        <f>IFERROR(VLOOKUP(C1088,TD!$B$33:$F$37,4,0)," ")</f>
        <v>20240255</v>
      </c>
      <c r="S1088" s="271" t="s">
        <v>183</v>
      </c>
      <c r="T1088" s="254" t="str">
        <f>IFERROR(VLOOKUP(S1088,TD!$J$34:$K$44,2,0)," ")</f>
        <v>Servicio de formación en gestión del riesgo de incendios para el personal UAECOB</v>
      </c>
      <c r="U1088" s="296" t="str">
        <f>CONCATENATE(S1088,"-",T1088)</f>
        <v>07-Servicio de formación en gestión del riesgo de incendios para el personal UAECOB</v>
      </c>
      <c r="V1088" s="271" t="s">
        <v>233</v>
      </c>
      <c r="W1088" s="254" t="str">
        <f>IFERROR(VLOOKUP(V1088,TD!$N$34:$O$46,2,0)," ")</f>
        <v>Servicio de educación informal</v>
      </c>
      <c r="X1088" s="296" t="str">
        <f>CONCATENATE(V1088,"_",W1088)</f>
        <v>002_Servicio de educación informal</v>
      </c>
      <c r="Y1088" s="296" t="str">
        <f>CONCATENATE(U1088," ",X1088)</f>
        <v>07-Servicio de formación en gestión del riesgo de incendios para el personal UAECOB 002_Servicio de educación informal</v>
      </c>
      <c r="Z1088" s="350" t="str">
        <f>CONCATENATE(P1088,Q1088,R1088,S1088,V1088)</f>
        <v>O23011745032024025507002</v>
      </c>
      <c r="AA1088" s="350" t="str">
        <f>IFERROR(VLOOKUP(Y1088,TD!$K$47:$L$65,2,0)," ")</f>
        <v>PM/0131/0107/45030020255</v>
      </c>
      <c r="AB1088" s="226" t="s">
        <v>138</v>
      </c>
      <c r="AC1088" s="351" t="s">
        <v>205</v>
      </c>
    </row>
    <row r="1089" spans="2:29" ht="84" x14ac:dyDescent="0.35">
      <c r="B1089" s="218">
        <v>20251196</v>
      </c>
      <c r="C1089" s="422" t="s">
        <v>209</v>
      </c>
      <c r="D1089" s="347" t="s">
        <v>165</v>
      </c>
      <c r="E1089" s="348" t="s">
        <v>484</v>
      </c>
      <c r="F1089" s="347" t="s">
        <v>1368</v>
      </c>
      <c r="G1089" s="347" t="s">
        <v>96</v>
      </c>
      <c r="H1089" s="222" t="s">
        <v>486</v>
      </c>
      <c r="I1089" s="349">
        <v>11</v>
      </c>
      <c r="J1089" s="349">
        <v>3</v>
      </c>
      <c r="K1089" s="224">
        <v>0</v>
      </c>
      <c r="L1089" s="226">
        <v>98770000</v>
      </c>
      <c r="M1089" s="228" t="s">
        <v>464</v>
      </c>
      <c r="N1089" s="226" t="s">
        <v>113</v>
      </c>
      <c r="O1089" s="348" t="s">
        <v>229</v>
      </c>
      <c r="P1089" s="350" t="str">
        <f>IFERROR(VLOOKUP(C1089,TD!$B$33:$F$37,2,0)," ")</f>
        <v>O230117</v>
      </c>
      <c r="Q1089" s="350" t="str">
        <f>IFERROR(VLOOKUP(C1089,TD!$B$33:$F$37,3,0)," ")</f>
        <v>4503</v>
      </c>
      <c r="R1089" s="350">
        <f>IFERROR(VLOOKUP(C1089,TD!$B$33:$F$37,4,0)," ")</f>
        <v>20240255</v>
      </c>
      <c r="S1089" s="271" t="s">
        <v>183</v>
      </c>
      <c r="T1089" s="254" t="str">
        <f>IFERROR(VLOOKUP(S1089,TD!$J$34:$K$44,2,0)," ")</f>
        <v>Servicio de formación en gestión del riesgo de incendios para el personal UAECOB</v>
      </c>
      <c r="U1089" s="296" t="str">
        <f>CONCATENATE(S1089,"-",T1089)</f>
        <v>07-Servicio de formación en gestión del riesgo de incendios para el personal UAECOB</v>
      </c>
      <c r="V1089" s="271" t="s">
        <v>233</v>
      </c>
      <c r="W1089" s="254" t="str">
        <f>IFERROR(VLOOKUP(V1089,TD!$N$34:$O$46,2,0)," ")</f>
        <v>Servicio de educación informal</v>
      </c>
      <c r="X1089" s="296" t="str">
        <f>CONCATENATE(V1089,"_",W1089)</f>
        <v>002_Servicio de educación informal</v>
      </c>
      <c r="Y1089" s="296" t="str">
        <f>CONCATENATE(U1089," ",X1089)</f>
        <v>07-Servicio de formación en gestión del riesgo de incendios para el personal UAECOB 002_Servicio de educación informal</v>
      </c>
      <c r="Z1089" s="350" t="str">
        <f>CONCATENATE(P1089,Q1089,R1089,S1089,V1089)</f>
        <v>O23011745032024025507002</v>
      </c>
      <c r="AA1089" s="350" t="str">
        <f>IFERROR(VLOOKUP(Y1089,TD!$K$47:$L$65,2,0)," ")</f>
        <v>PM/0131/0107/45030020255</v>
      </c>
      <c r="AB1089" s="226" t="s">
        <v>138</v>
      </c>
      <c r="AC1089" s="351" t="s">
        <v>204</v>
      </c>
    </row>
    <row r="1090" spans="2:29" ht="88" customHeight="1" x14ac:dyDescent="0.35">
      <c r="B1090" s="219">
        <v>20251199</v>
      </c>
      <c r="C1090" s="221" t="s">
        <v>209</v>
      </c>
      <c r="D1090" s="352" t="s">
        <v>169</v>
      </c>
      <c r="E1090" s="353" t="s">
        <v>465</v>
      </c>
      <c r="F1090" s="352" t="s">
        <v>1371</v>
      </c>
      <c r="G1090" s="352" t="s">
        <v>156</v>
      </c>
      <c r="H1090" s="223">
        <v>80111600</v>
      </c>
      <c r="I1090" s="354">
        <v>12</v>
      </c>
      <c r="J1090" s="354">
        <v>4</v>
      </c>
      <c r="K1090" s="225">
        <v>0</v>
      </c>
      <c r="L1090" s="227">
        <v>12000000</v>
      </c>
      <c r="M1090" s="229" t="s">
        <v>464</v>
      </c>
      <c r="N1090" s="227" t="s">
        <v>113</v>
      </c>
      <c r="O1090" s="353" t="s">
        <v>222</v>
      </c>
      <c r="P1090" s="355" t="str">
        <f>IFERROR(VLOOKUP(C1090,TD!$B$33:$F$37,2,0)," ")</f>
        <v>O230117</v>
      </c>
      <c r="Q1090" s="355" t="str">
        <f>IFERROR(VLOOKUP(C1090,TD!$B$33:$F$37,3,0)," ")</f>
        <v>4503</v>
      </c>
      <c r="R1090" s="355">
        <f>IFERROR(VLOOKUP(C1090,TD!$B$33:$F$37,4,0)," ")</f>
        <v>20240255</v>
      </c>
      <c r="S1090" s="51" t="s">
        <v>175</v>
      </c>
      <c r="T1090" s="254" t="str">
        <f>IFERROR(VLOOKUP(S1090,TD!$J$34:$K$44,2,0)," ")</f>
        <v>Servicio de atención a incidentes y emergencias.</v>
      </c>
      <c r="U1090" s="296" t="str">
        <f>CONCATENATE(S1090,"-",T1090)</f>
        <v>04-Servicio de atención a incidentes y emergencias.</v>
      </c>
      <c r="V1090" s="51" t="s">
        <v>232</v>
      </c>
      <c r="W1090" s="254" t="str">
        <f>IFERROR(VLOOKUP(V1090,TD!$N$34:$O$46,2,0)," ")</f>
        <v>Servicio de atención a emergencias y desastres</v>
      </c>
      <c r="X1090" s="296" t="str">
        <f>CONCATENATE(V1090,"_",W1090)</f>
        <v>004_Servicio de atención a emergencias y desastres</v>
      </c>
      <c r="Y1090" s="296" t="str">
        <f>CONCATENATE(U1090," ",X1090)</f>
        <v>04-Servicio de atención a incidentes y emergencias. 004_Servicio de atención a emergencias y desastres</v>
      </c>
      <c r="Z1090" s="355" t="str">
        <f>CONCATENATE(P1090,Q1090,R1090,S1090,V1090)</f>
        <v>O23011745032024025504004</v>
      </c>
      <c r="AA1090" s="355" t="str">
        <f>IFERROR(VLOOKUP(Y1090,TD!$K$47:$L$65,2,0)," ")</f>
        <v>PM/0131/0104/45030040255</v>
      </c>
      <c r="AB1090" s="227" t="s">
        <v>138</v>
      </c>
      <c r="AC1090" s="356" t="s">
        <v>205</v>
      </c>
    </row>
    <row r="1091" spans="2:29" ht="84" x14ac:dyDescent="0.35">
      <c r="B1091" s="420">
        <v>20251200</v>
      </c>
      <c r="C1091" s="426" t="s">
        <v>209</v>
      </c>
      <c r="D1091" s="429" t="s">
        <v>169</v>
      </c>
      <c r="E1091" s="431" t="s">
        <v>465</v>
      </c>
      <c r="F1091" s="429" t="s">
        <v>1372</v>
      </c>
      <c r="G1091" s="429" t="s">
        <v>155</v>
      </c>
      <c r="H1091" s="437">
        <v>80111600</v>
      </c>
      <c r="I1091" s="441">
        <v>12</v>
      </c>
      <c r="J1091" s="441">
        <v>4</v>
      </c>
      <c r="K1091" s="446">
        <v>24</v>
      </c>
      <c r="L1091" s="450">
        <v>33681429</v>
      </c>
      <c r="M1091" s="452" t="s">
        <v>464</v>
      </c>
      <c r="N1091" s="450" t="s">
        <v>113</v>
      </c>
      <c r="O1091" s="431" t="s">
        <v>222</v>
      </c>
      <c r="P1091" s="459" t="str">
        <f>IFERROR(VLOOKUP(C1091,TD!$B$33:$F$37,2,0)," ")</f>
        <v>O230117</v>
      </c>
      <c r="Q1091" s="459" t="str">
        <f>IFERROR(VLOOKUP(C1091,TD!$B$33:$F$37,3,0)," ")</f>
        <v>4503</v>
      </c>
      <c r="R1091" s="459">
        <f>IFERROR(VLOOKUP(C1091,TD!$B$33:$F$37,4,0)," ")</f>
        <v>20240255</v>
      </c>
      <c r="S1091" s="51" t="s">
        <v>175</v>
      </c>
      <c r="T1091" s="254" t="str">
        <f>IFERROR(VLOOKUP(S1091,TD!$J$34:$K$44,2,0)," ")</f>
        <v>Servicio de atención a incidentes y emergencias.</v>
      </c>
      <c r="U1091" s="249" t="str">
        <f>CONCATENATE(S1091,"-",T1091)</f>
        <v>04-Servicio de atención a incidentes y emergencias.</v>
      </c>
      <c r="V1091" s="51" t="s">
        <v>232</v>
      </c>
      <c r="W1091" s="254" t="str">
        <f>IFERROR(VLOOKUP(V1091,TD!$N$34:$O$46,2,0)," ")</f>
        <v>Servicio de atención a emergencias y desastres</v>
      </c>
      <c r="X1091" s="249" t="str">
        <f>CONCATENATE(V1091,"_",W1091)</f>
        <v>004_Servicio de atención a emergencias y desastres</v>
      </c>
      <c r="Y1091" s="249" t="str">
        <f>CONCATENATE(U1091," ",X1091)</f>
        <v>04-Servicio de atención a incidentes y emergencias. 004_Servicio de atención a emergencias y desastres</v>
      </c>
      <c r="Z1091" s="459" t="str">
        <f>CONCATENATE(P1091,Q1091,R1091,S1091,V1091)</f>
        <v>O23011745032024025504004</v>
      </c>
      <c r="AA1091" s="459" t="str">
        <f>IFERROR(VLOOKUP(Y1091,TD!$K$47:$L$65,2,0)," ")</f>
        <v>PM/0131/0104/45030040255</v>
      </c>
      <c r="AB1091" s="450" t="s">
        <v>138</v>
      </c>
      <c r="AC1091" s="467" t="s">
        <v>205</v>
      </c>
    </row>
    <row r="1092" spans="2:29" ht="56" x14ac:dyDescent="0.35">
      <c r="B1092" s="275">
        <v>20251201</v>
      </c>
      <c r="C1092" s="276" t="s">
        <v>209</v>
      </c>
      <c r="D1092" s="277" t="s">
        <v>168</v>
      </c>
      <c r="E1092" s="278" t="s">
        <v>600</v>
      </c>
      <c r="F1092" s="246" t="s">
        <v>1393</v>
      </c>
      <c r="G1092" s="277" t="s">
        <v>96</v>
      </c>
      <c r="H1092" s="279">
        <v>72101509</v>
      </c>
      <c r="I1092" s="280">
        <v>2</v>
      </c>
      <c r="J1092" s="280">
        <v>12</v>
      </c>
      <c r="K1092" s="281">
        <v>0</v>
      </c>
      <c r="L1092" s="282">
        <v>33450000</v>
      </c>
      <c r="M1092" s="283" t="s">
        <v>464</v>
      </c>
      <c r="N1092" s="282" t="s">
        <v>113</v>
      </c>
      <c r="O1092" s="278" t="s">
        <v>224</v>
      </c>
      <c r="P1092" s="284" t="str">
        <f>IFERROR(VLOOKUP(C1092,TD!$B$33:$F$37,2,0)," ")</f>
        <v>O230117</v>
      </c>
      <c r="Q1092" s="284" t="str">
        <f>IFERROR(VLOOKUP(C1092,TD!$B$33:$F$37,3,0)," ")</f>
        <v>4503</v>
      </c>
      <c r="R1092" s="284">
        <f>IFERROR(VLOOKUP(C1092,TD!$B$33:$F$37,4,0)," ")</f>
        <v>20240255</v>
      </c>
      <c r="S1092" s="51" t="s">
        <v>187</v>
      </c>
      <c r="T1092" s="254" t="str">
        <f>IFERROR(VLOOKUP(S1092,TD!$J$34:$K$44,2,0)," ")</f>
        <v>Servicio de mantenimiento, dotación (HEA´s y equipo menor) y adquisición de vehiculos   especializados para la atención de emergencias.</v>
      </c>
      <c r="U1092" s="249" t="str">
        <f>CONCATENATE(S1092,"-",T1092)</f>
        <v>09-Servicio de mantenimiento, dotación (HEA´s y equipo menor) y adquisición de vehiculos   especializados para la atención de emergencias.</v>
      </c>
      <c r="V1092" s="51" t="s">
        <v>232</v>
      </c>
      <c r="W1092" s="254" t="str">
        <f>IFERROR(VLOOKUP(V1092,TD!$N$34:$O$46,2,0)," ")</f>
        <v>Servicio de atención a emergencias y desastres</v>
      </c>
      <c r="X1092" s="249" t="str">
        <f>CONCATENATE(V1092,"_",W1092)</f>
        <v>004_Servicio de atención a emergencias y desastres</v>
      </c>
      <c r="Y1092" s="249" t="str">
        <f>CONCATENATE(U1092," ",X1092)</f>
        <v>09-Servicio de mantenimiento, dotación (HEA´s y equipo menor) y adquisición de vehiculos   especializados para la atención de emergencias. 004_Servicio de atención a emergencias y desastres</v>
      </c>
      <c r="Z1092" s="284" t="str">
        <f>CONCATENATE(P1092,Q1092,R1092,S1092,V1092)</f>
        <v>O23011745032024025509004</v>
      </c>
      <c r="AA1092" s="284" t="str">
        <f>IFERROR(VLOOKUP(Y1092,TD!$K$47:$L$65,2,0)," ")</f>
        <v>PM/0131/0109/45030040255</v>
      </c>
      <c r="AB1092" s="282" t="s">
        <v>87</v>
      </c>
      <c r="AC1092" s="464" t="s">
        <v>205</v>
      </c>
    </row>
    <row r="1093" spans="2:29" ht="56" x14ac:dyDescent="0.35">
      <c r="B1093" s="137">
        <v>20251202</v>
      </c>
      <c r="C1093" s="138" t="s">
        <v>209</v>
      </c>
      <c r="D1093" s="292" t="s">
        <v>165</v>
      </c>
      <c r="E1093" s="295" t="s">
        <v>484</v>
      </c>
      <c r="F1093" s="292" t="s">
        <v>1387</v>
      </c>
      <c r="G1093" s="292" t="s">
        <v>155</v>
      </c>
      <c r="H1093" s="139">
        <v>80111600</v>
      </c>
      <c r="I1093" s="293">
        <v>12</v>
      </c>
      <c r="J1093" s="293">
        <v>3</v>
      </c>
      <c r="K1093" s="140">
        <v>0</v>
      </c>
      <c r="L1093" s="141">
        <v>21000000</v>
      </c>
      <c r="M1093" s="158" t="s">
        <v>464</v>
      </c>
      <c r="N1093" s="141" t="s">
        <v>113</v>
      </c>
      <c r="O1093" s="295" t="s">
        <v>229</v>
      </c>
      <c r="P1093" s="294" t="str">
        <f>IFERROR(VLOOKUP(C1093,TD!$B$33:$F$37,2,0)," ")</f>
        <v>O230117</v>
      </c>
      <c r="Q1093" s="294" t="str">
        <f>IFERROR(VLOOKUP(C1093,TD!$B$33:$F$37,3,0)," ")</f>
        <v>4503</v>
      </c>
      <c r="R1093" s="294">
        <f>IFERROR(VLOOKUP(C1093,TD!$B$33:$F$37,4,0)," ")</f>
        <v>20240255</v>
      </c>
      <c r="S1093" s="295" t="s">
        <v>183</v>
      </c>
      <c r="T1093" s="254" t="str">
        <f>IFERROR(VLOOKUP(S1093,TD!$J$34:$K$44,2,0)," ")</f>
        <v>Servicio de formación en gestión del riesgo de incendios para el personal UAECOB</v>
      </c>
      <c r="U1093" s="296" t="str">
        <f>CONCATENATE(S1093,"-",T1093)</f>
        <v>07-Servicio de formación en gestión del riesgo de incendios para el personal UAECOB</v>
      </c>
      <c r="V1093" s="295" t="s">
        <v>233</v>
      </c>
      <c r="W1093" s="254" t="str">
        <f>IFERROR(VLOOKUP(V1093,TD!$N$34:$O$46,2,0)," ")</f>
        <v>Servicio de educación informal</v>
      </c>
      <c r="X1093" s="296" t="str">
        <f>CONCATENATE(V1093,"_",W1093)</f>
        <v>002_Servicio de educación informal</v>
      </c>
      <c r="Y1093" s="296" t="str">
        <f>CONCATENATE(U1093," ",X1093)</f>
        <v>07-Servicio de formación en gestión del riesgo de incendios para el personal UAECOB 002_Servicio de educación informal</v>
      </c>
      <c r="Z1093" s="294" t="str">
        <f>CONCATENATE(P1093,Q1093,R1093,S1093,V1093)</f>
        <v>O23011745032024025507002</v>
      </c>
      <c r="AA1093" s="294" t="str">
        <f>IFERROR(VLOOKUP(Y1093,TD!$K$47:$L$65,2,0)," ")</f>
        <v>PM/0131/0107/45030020255</v>
      </c>
      <c r="AB1093" s="141" t="s">
        <v>138</v>
      </c>
      <c r="AC1093" s="297" t="s">
        <v>204</v>
      </c>
    </row>
    <row r="1094" spans="2:29" ht="84" x14ac:dyDescent="0.35">
      <c r="B1094" s="230">
        <v>20251203</v>
      </c>
      <c r="C1094" s="232" t="s">
        <v>209</v>
      </c>
      <c r="D1094" s="357" t="s">
        <v>167</v>
      </c>
      <c r="E1094" s="302" t="s">
        <v>505</v>
      </c>
      <c r="F1094" s="357" t="s">
        <v>514</v>
      </c>
      <c r="G1094" s="357" t="s">
        <v>156</v>
      </c>
      <c r="H1094" s="237">
        <v>80111600</v>
      </c>
      <c r="I1094" s="358">
        <v>12</v>
      </c>
      <c r="J1094" s="358">
        <v>1</v>
      </c>
      <c r="K1094" s="239">
        <v>15</v>
      </c>
      <c r="L1094" s="241">
        <v>6000000</v>
      </c>
      <c r="M1094" s="244" t="s">
        <v>464</v>
      </c>
      <c r="N1094" s="241" t="s">
        <v>508</v>
      </c>
      <c r="O1094" s="359" t="s">
        <v>221</v>
      </c>
      <c r="P1094" s="360" t="str">
        <f>IFERROR(VLOOKUP(C1094,TD!$B$33:$F$37,2,0)," ")</f>
        <v>O230117</v>
      </c>
      <c r="Q1094" s="360" t="str">
        <f>IFERROR(VLOOKUP(C1094,TD!$B$33:$F$37,3,0)," ")</f>
        <v>4503</v>
      </c>
      <c r="R1094" s="360">
        <f>IFERROR(VLOOKUP(C1094,TD!$B$33:$F$37,4,0)," ")</f>
        <v>20240255</v>
      </c>
      <c r="S1094" s="359" t="s">
        <v>177</v>
      </c>
      <c r="T1094" s="254" t="str">
        <f>IFERROR(VLOOKUP(S1094,TD!$J$34:$K$44,2,0)," ")</f>
        <v>Servicio de capacitaciones en gestión del riesgo de incendios  a la ciudadania.</v>
      </c>
      <c r="U1094" s="296" t="str">
        <f>CONCATENATE(S1094,"-",T1094)</f>
        <v>05-Servicio de capacitaciones en gestión del riesgo de incendios  a la ciudadania.</v>
      </c>
      <c r="V1094" s="359" t="s">
        <v>233</v>
      </c>
      <c r="W1094" s="254" t="str">
        <f>IFERROR(VLOOKUP(V1094,TD!$N$34:$O$46,2,0)," ")</f>
        <v>Servicio de educación informal</v>
      </c>
      <c r="X1094" s="296" t="str">
        <f>CONCATENATE(V1094,"_",W1094)</f>
        <v>002_Servicio de educación informal</v>
      </c>
      <c r="Y1094" s="296" t="str">
        <f>CONCATENATE(U1094," ",X1094)</f>
        <v>05-Servicio de capacitaciones en gestión del riesgo de incendios  a la ciudadania. 002_Servicio de educación informal</v>
      </c>
      <c r="Z1094" s="360" t="str">
        <f>CONCATENATE(P1094,Q1094,R1094,S1094,V1094)</f>
        <v>O23011745032024025505002</v>
      </c>
      <c r="AA1094" s="360" t="str">
        <f>IFERROR(VLOOKUP(Y1094,TD!$K$47:$L$65,2,0)," ")</f>
        <v>PM/0131/0105/45030020255</v>
      </c>
      <c r="AB1094" s="241" t="s">
        <v>138</v>
      </c>
      <c r="AC1094" s="301" t="s">
        <v>204</v>
      </c>
    </row>
    <row r="1095" spans="2:29" ht="84" x14ac:dyDescent="0.35">
      <c r="B1095" s="132">
        <v>20251205</v>
      </c>
      <c r="C1095" s="133" t="s">
        <v>208</v>
      </c>
      <c r="D1095" s="298" t="s">
        <v>162</v>
      </c>
      <c r="E1095" s="302" t="s">
        <v>355</v>
      </c>
      <c r="F1095" s="298" t="s">
        <v>1350</v>
      </c>
      <c r="G1095" s="298" t="s">
        <v>155</v>
      </c>
      <c r="H1095" s="134">
        <v>80111600</v>
      </c>
      <c r="I1095" s="299">
        <v>12</v>
      </c>
      <c r="J1095" s="299">
        <v>1</v>
      </c>
      <c r="K1095" s="135">
        <v>0</v>
      </c>
      <c r="L1095" s="131">
        <v>2080000</v>
      </c>
      <c r="M1095" s="142" t="s">
        <v>464</v>
      </c>
      <c r="N1095" s="131" t="s">
        <v>113</v>
      </c>
      <c r="O1095" s="302" t="s">
        <v>215</v>
      </c>
      <c r="P1095" s="300" t="str">
        <f>IFERROR(VLOOKUP(C1095,TD!$B$33:$F$37,2,0)," ")</f>
        <v>O230117</v>
      </c>
      <c r="Q1095" s="300" t="str">
        <f>IFERROR(VLOOKUP(C1095,TD!$B$33:$F$37,3,0)," ")</f>
        <v>4599</v>
      </c>
      <c r="R1095" s="300">
        <f>IFERROR(VLOOKUP(C1095,TD!$B$33:$F$37,4,0)," ")</f>
        <v>20240207</v>
      </c>
      <c r="S1095" s="302" t="s">
        <v>179</v>
      </c>
      <c r="T1095" s="254" t="str">
        <f>IFERROR(VLOOKUP(S1095,TD!$J$34:$K$44,2,0)," ")</f>
        <v>Infraestructura Tecnológica   (Sistemas de Información y Tecnologia)</v>
      </c>
      <c r="U1095" s="296" t="str">
        <f>CONCATENATE(S1095,"-",T1095)</f>
        <v>11-Infraestructura Tecnológica   (Sistemas de Información y Tecnologia)</v>
      </c>
      <c r="V1095" s="302" t="s">
        <v>239</v>
      </c>
      <c r="W1095" s="254" t="str">
        <f>IFERROR(VLOOKUP(V1095,TD!$N$34:$O$46,2,0)," ")</f>
        <v>Servicios tecnológicos</v>
      </c>
      <c r="X1095" s="296" t="str">
        <f>CONCATENATE(V1095,"_",W1095)</f>
        <v>007_Servicios tecnológicos</v>
      </c>
      <c r="Y1095" s="296" t="str">
        <f>CONCATENATE(U1095," ",X1095)</f>
        <v>11-Infraestructura Tecnológica   (Sistemas de Información y Tecnologia) 007_Servicios tecnológicos</v>
      </c>
      <c r="Z1095" s="300" t="str">
        <f>CONCATENATE(P1095,Q1095,R1095,S1095,V1095)</f>
        <v>O23011745992024020711007</v>
      </c>
      <c r="AA1095" s="300" t="str">
        <f>IFERROR(VLOOKUP(Y1095,TD!$K$47:$L$65,2,0)," ")</f>
        <v>PM/0131/0111/45990070207</v>
      </c>
      <c r="AB1095" s="131" t="s">
        <v>120</v>
      </c>
      <c r="AC1095" s="301" t="s">
        <v>205</v>
      </c>
    </row>
    <row r="1096" spans="2:29" ht="56" x14ac:dyDescent="0.35">
      <c r="B1096" s="132">
        <v>20251206</v>
      </c>
      <c r="C1096" s="133" t="s">
        <v>208</v>
      </c>
      <c r="D1096" s="298" t="s">
        <v>162</v>
      </c>
      <c r="E1096" s="302" t="s">
        <v>355</v>
      </c>
      <c r="F1096" s="298" t="s">
        <v>1376</v>
      </c>
      <c r="G1096" s="298" t="s">
        <v>155</v>
      </c>
      <c r="H1096" s="134">
        <v>80111600</v>
      </c>
      <c r="I1096" s="299">
        <v>12</v>
      </c>
      <c r="J1096" s="299">
        <v>1</v>
      </c>
      <c r="K1096" s="135">
        <v>0</v>
      </c>
      <c r="L1096" s="131">
        <v>1300000</v>
      </c>
      <c r="M1096" s="142" t="s">
        <v>464</v>
      </c>
      <c r="N1096" s="131" t="s">
        <v>113</v>
      </c>
      <c r="O1096" s="302" t="s">
        <v>215</v>
      </c>
      <c r="P1096" s="300" t="str">
        <f>IFERROR(VLOOKUP(C1096,TD!$B$33:$F$37,2,0)," ")</f>
        <v>O230117</v>
      </c>
      <c r="Q1096" s="300" t="str">
        <f>IFERROR(VLOOKUP(C1096,TD!$B$33:$F$37,3,0)," ")</f>
        <v>4599</v>
      </c>
      <c r="R1096" s="300">
        <f>IFERROR(VLOOKUP(C1096,TD!$B$33:$F$37,4,0)," ")</f>
        <v>20240207</v>
      </c>
      <c r="S1096" s="302" t="s">
        <v>179</v>
      </c>
      <c r="T1096" s="254" t="str">
        <f>IFERROR(VLOOKUP(S1096,TD!$J$34:$K$44,2,0)," ")</f>
        <v>Infraestructura Tecnológica   (Sistemas de Información y Tecnologia)</v>
      </c>
      <c r="U1096" s="296" t="str">
        <f>CONCATENATE(S1096,"-",T1096)</f>
        <v>11-Infraestructura Tecnológica   (Sistemas de Información y Tecnologia)</v>
      </c>
      <c r="V1096" s="302" t="s">
        <v>239</v>
      </c>
      <c r="W1096" s="254" t="str">
        <f>IFERROR(VLOOKUP(V1096,TD!$N$34:$O$46,2,0)," ")</f>
        <v>Servicios tecnológicos</v>
      </c>
      <c r="X1096" s="296" t="str">
        <f>CONCATENATE(V1096,"_",W1096)</f>
        <v>007_Servicios tecnológicos</v>
      </c>
      <c r="Y1096" s="296" t="str">
        <f>CONCATENATE(U1096," ",X1096)</f>
        <v>11-Infraestructura Tecnológica   (Sistemas de Información y Tecnologia) 007_Servicios tecnológicos</v>
      </c>
      <c r="Z1096" s="300" t="str">
        <f>CONCATENATE(P1096,Q1096,R1096,S1096,V1096)</f>
        <v>O23011745992024020711007</v>
      </c>
      <c r="AA1096" s="300" t="str">
        <f>IFERROR(VLOOKUP(Y1096,TD!$K$47:$L$65,2,0)," ")</f>
        <v>PM/0131/0111/45990070207</v>
      </c>
      <c r="AB1096" s="131" t="s">
        <v>120</v>
      </c>
      <c r="AC1096" s="301" t="s">
        <v>205</v>
      </c>
    </row>
    <row r="1097" spans="2:29" ht="56" x14ac:dyDescent="0.35">
      <c r="B1097" s="132">
        <v>20251207</v>
      </c>
      <c r="C1097" s="133" t="s">
        <v>208</v>
      </c>
      <c r="D1097" s="298" t="s">
        <v>162</v>
      </c>
      <c r="E1097" s="302" t="s">
        <v>355</v>
      </c>
      <c r="F1097" s="298" t="s">
        <v>1377</v>
      </c>
      <c r="G1097" s="298" t="s">
        <v>155</v>
      </c>
      <c r="H1097" s="134">
        <v>80111600</v>
      </c>
      <c r="I1097" s="299">
        <v>12</v>
      </c>
      <c r="J1097" s="299">
        <v>1</v>
      </c>
      <c r="K1097" s="135">
        <v>0</v>
      </c>
      <c r="L1097" s="131">
        <v>4420000</v>
      </c>
      <c r="M1097" s="142" t="s">
        <v>464</v>
      </c>
      <c r="N1097" s="131" t="s">
        <v>113</v>
      </c>
      <c r="O1097" s="302" t="s">
        <v>215</v>
      </c>
      <c r="P1097" s="300" t="str">
        <f>IFERROR(VLOOKUP(C1097,TD!$B$33:$F$37,2,0)," ")</f>
        <v>O230117</v>
      </c>
      <c r="Q1097" s="300" t="str">
        <f>IFERROR(VLOOKUP(C1097,TD!$B$33:$F$37,3,0)," ")</f>
        <v>4599</v>
      </c>
      <c r="R1097" s="300">
        <f>IFERROR(VLOOKUP(C1097,TD!$B$33:$F$37,4,0)," ")</f>
        <v>20240207</v>
      </c>
      <c r="S1097" s="302" t="s">
        <v>179</v>
      </c>
      <c r="T1097" s="254" t="str">
        <f>IFERROR(VLOOKUP(S1097,TD!$J$34:$K$44,2,0)," ")</f>
        <v>Infraestructura Tecnológica   (Sistemas de Información y Tecnologia)</v>
      </c>
      <c r="U1097" s="296" t="str">
        <f>CONCATENATE(S1097,"-",T1097)</f>
        <v>11-Infraestructura Tecnológica   (Sistemas de Información y Tecnologia)</v>
      </c>
      <c r="V1097" s="302" t="s">
        <v>239</v>
      </c>
      <c r="W1097" s="254" t="str">
        <f>IFERROR(VLOOKUP(V1097,TD!$N$34:$O$46,2,0)," ")</f>
        <v>Servicios tecnológicos</v>
      </c>
      <c r="X1097" s="296" t="str">
        <f>CONCATENATE(V1097,"_",W1097)</f>
        <v>007_Servicios tecnológicos</v>
      </c>
      <c r="Y1097" s="296" t="str">
        <f>CONCATENATE(U1097," ",X1097)</f>
        <v>11-Infraestructura Tecnológica   (Sistemas de Información y Tecnologia) 007_Servicios tecnológicos</v>
      </c>
      <c r="Z1097" s="300" t="str">
        <f>CONCATENATE(P1097,Q1097,R1097,S1097,V1097)</f>
        <v>O23011745992024020711007</v>
      </c>
      <c r="AA1097" s="300" t="str">
        <f>IFERROR(VLOOKUP(Y1097,TD!$K$47:$L$65,2,0)," ")</f>
        <v>PM/0131/0111/45990070207</v>
      </c>
      <c r="AB1097" s="131" t="s">
        <v>120</v>
      </c>
      <c r="AC1097" s="301" t="s">
        <v>205</v>
      </c>
    </row>
    <row r="1098" spans="2:29" ht="56" x14ac:dyDescent="0.35">
      <c r="B1098" s="132">
        <v>20251208</v>
      </c>
      <c r="C1098" s="133" t="s">
        <v>208</v>
      </c>
      <c r="D1098" s="298" t="s">
        <v>166</v>
      </c>
      <c r="E1098" s="302" t="s">
        <v>558</v>
      </c>
      <c r="F1098" s="298" t="s">
        <v>587</v>
      </c>
      <c r="G1098" s="298" t="s">
        <v>156</v>
      </c>
      <c r="H1098" s="134" t="s">
        <v>606</v>
      </c>
      <c r="I1098" s="299">
        <v>2</v>
      </c>
      <c r="J1098" s="299">
        <v>11</v>
      </c>
      <c r="K1098" s="135">
        <v>0</v>
      </c>
      <c r="L1098" s="131">
        <v>2815139</v>
      </c>
      <c r="M1098" s="142" t="s">
        <v>464</v>
      </c>
      <c r="N1098" s="131" t="s">
        <v>607</v>
      </c>
      <c r="O1098" s="302" t="s">
        <v>219</v>
      </c>
      <c r="P1098" s="300" t="str">
        <f>IFERROR(VLOOKUP(C1098,TD!$B$33:$F$37,2,0)," ")</f>
        <v>O230117</v>
      </c>
      <c r="Q1098" s="300" t="str">
        <f>IFERROR(VLOOKUP(C1098,TD!$B$33:$F$37,3,0)," ")</f>
        <v>4599</v>
      </c>
      <c r="R1098" s="300">
        <f>IFERROR(VLOOKUP(C1098,TD!$B$33:$F$37,4,0)," ")</f>
        <v>20240207</v>
      </c>
      <c r="S1098" s="302" t="s">
        <v>185</v>
      </c>
      <c r="T1098" s="254" t="str">
        <f>IFERROR(VLOOKUP(S1098,TD!$J$34:$K$44,2,0)," ")</f>
        <v>Infraestructura física, mantenimiento y dotación (Sedes construidas, mantenidas reforzadas)</v>
      </c>
      <c r="U1098" s="296" t="str">
        <f>CONCATENATE(S1098,"-",T1098)</f>
        <v>08-Infraestructura física, mantenimiento y dotación (Sedes construidas, mantenidas reforzadas)</v>
      </c>
      <c r="V1098" s="302" t="s">
        <v>238</v>
      </c>
      <c r="W1098" s="254" t="str">
        <f>IFERROR(VLOOKUP(V1098,TD!$N$34:$O$46,2,0)," ")</f>
        <v>Sedes mantenidas</v>
      </c>
      <c r="X1098" s="296" t="str">
        <f>CONCATENATE(V1098,"_",W1098)</f>
        <v>016_Sedes mantenidas</v>
      </c>
      <c r="Y1098" s="296" t="str">
        <f>CONCATENATE(U1098," ",X1098)</f>
        <v>08-Infraestructura física, mantenimiento y dotación (Sedes construidas, mantenidas reforzadas) 016_Sedes mantenidas</v>
      </c>
      <c r="Z1098" s="300" t="str">
        <f>CONCATENATE(P1098,Q1098,R1098,S1098,V1098)</f>
        <v>O23011745992024020708016</v>
      </c>
      <c r="AA1098" s="300" t="str">
        <f>IFERROR(VLOOKUP(Y1098,TD!$K$47:$L$65,2,0)," ")</f>
        <v>PM/0131/0108/45990160207</v>
      </c>
      <c r="AB1098" s="131" t="s">
        <v>138</v>
      </c>
      <c r="AC1098" s="301" t="s">
        <v>204</v>
      </c>
    </row>
    <row r="1099" spans="2:29" ht="42" x14ac:dyDescent="0.35">
      <c r="B1099" s="77">
        <v>20251209</v>
      </c>
      <c r="C1099" s="50" t="s">
        <v>208</v>
      </c>
      <c r="D1099" s="246" t="s">
        <v>166</v>
      </c>
      <c r="E1099" s="51" t="s">
        <v>558</v>
      </c>
      <c r="F1099" s="246" t="s">
        <v>1378</v>
      </c>
      <c r="G1099" s="246" t="s">
        <v>137</v>
      </c>
      <c r="H1099" s="93" t="s">
        <v>406</v>
      </c>
      <c r="I1099" s="247" t="s">
        <v>406</v>
      </c>
      <c r="J1099" s="247" t="s">
        <v>406</v>
      </c>
      <c r="K1099" s="52" t="s">
        <v>406</v>
      </c>
      <c r="L1099" s="53">
        <v>359147</v>
      </c>
      <c r="M1099" s="136" t="s">
        <v>173</v>
      </c>
      <c r="N1099" s="53" t="s">
        <v>128</v>
      </c>
      <c r="O1099" s="51" t="s">
        <v>219</v>
      </c>
      <c r="P1099" s="248" t="str">
        <f>IFERROR(VLOOKUP(C1099,TD!$B$33:$F$37,2,0)," ")</f>
        <v>O230117</v>
      </c>
      <c r="Q1099" s="248" t="str">
        <f>IFERROR(VLOOKUP(C1099,TD!$B$33:$F$37,3,0)," ")</f>
        <v>4599</v>
      </c>
      <c r="R1099" s="248">
        <f>IFERROR(VLOOKUP(C1099,TD!$B$33:$F$37,4,0)," ")</f>
        <v>20240207</v>
      </c>
      <c r="S1099" s="51" t="s">
        <v>185</v>
      </c>
      <c r="T1099" s="254" t="str">
        <f>IFERROR(VLOOKUP(S1099,TD!$J$34:$K$44,2,0)," ")</f>
        <v>Infraestructura física, mantenimiento y dotación (Sedes construidas, mantenidas reforzadas)</v>
      </c>
      <c r="U1099" s="249" t="str">
        <f>CONCATENATE(S1099,"-",T1099)</f>
        <v>08-Infraestructura física, mantenimiento y dotación (Sedes construidas, mantenidas reforzadas)</v>
      </c>
      <c r="V1099" s="51" t="s">
        <v>238</v>
      </c>
      <c r="W1099" s="254" t="str">
        <f>IFERROR(VLOOKUP(V1099,TD!$N$34:$O$46,2,0)," ")</f>
        <v>Sedes mantenidas</v>
      </c>
      <c r="X1099" s="249" t="str">
        <f>CONCATENATE(V1099,"_",W1099)</f>
        <v>016_Sedes mantenidas</v>
      </c>
      <c r="Y1099" s="249" t="str">
        <f>CONCATENATE(U1099," ",X1099)</f>
        <v>08-Infraestructura física, mantenimiento y dotación (Sedes construidas, mantenidas reforzadas) 016_Sedes mantenidas</v>
      </c>
      <c r="Z1099" s="248" t="str">
        <f>CONCATENATE(P1099,Q1099,R1099,S1099,V1099)</f>
        <v>O23011745992024020708016</v>
      </c>
      <c r="AA1099" s="248" t="str">
        <f>IFERROR(VLOOKUP(Y1099,TD!$K$47:$L$65,2,0)," ")</f>
        <v>PM/0131/0108/45990160207</v>
      </c>
      <c r="AB1099" s="53" t="s">
        <v>138</v>
      </c>
      <c r="AC1099" s="250" t="s">
        <v>205</v>
      </c>
    </row>
    <row r="1100" spans="2:29" ht="28" x14ac:dyDescent="0.35">
      <c r="B1100" s="132">
        <v>20251210</v>
      </c>
      <c r="C1100" s="133" t="s">
        <v>208</v>
      </c>
      <c r="D1100" s="298" t="s">
        <v>166</v>
      </c>
      <c r="E1100" s="302" t="s">
        <v>558</v>
      </c>
      <c r="F1100" s="298" t="s">
        <v>1379</v>
      </c>
      <c r="G1100" s="298" t="s">
        <v>137</v>
      </c>
      <c r="H1100" s="134" t="s">
        <v>406</v>
      </c>
      <c r="I1100" s="299" t="s">
        <v>406</v>
      </c>
      <c r="J1100" s="299" t="s">
        <v>406</v>
      </c>
      <c r="K1100" s="135" t="s">
        <v>406</v>
      </c>
      <c r="L1100" s="131">
        <v>1470000</v>
      </c>
      <c r="M1100" s="142" t="s">
        <v>173</v>
      </c>
      <c r="N1100" s="131" t="s">
        <v>128</v>
      </c>
      <c r="O1100" s="302" t="s">
        <v>218</v>
      </c>
      <c r="P1100" s="300" t="str">
        <f>IFERROR(VLOOKUP(C1100,TD!$B$33:$F$37,2,0)," ")</f>
        <v>O230117</v>
      </c>
      <c r="Q1100" s="300" t="str">
        <f>IFERROR(VLOOKUP(C1100,TD!$B$33:$F$37,3,0)," ")</f>
        <v>4599</v>
      </c>
      <c r="R1100" s="300">
        <f>IFERROR(VLOOKUP(C1100,TD!$B$33:$F$37,4,0)," ")</f>
        <v>20240207</v>
      </c>
      <c r="S1100" s="51" t="s">
        <v>185</v>
      </c>
      <c r="T1100" s="254" t="str">
        <f>IFERROR(VLOOKUP(S1100,TD!$J$34:$K$44,2,0)," ")</f>
        <v>Infraestructura física, mantenimiento y dotación (Sedes construidas, mantenidas reforzadas)</v>
      </c>
      <c r="U1100" s="296" t="str">
        <f>CONCATENATE(S1100,"-",T1100)</f>
        <v>08-Infraestructura física, mantenimiento y dotación (Sedes construidas, mantenidas reforzadas)</v>
      </c>
      <c r="V1100" s="51" t="s">
        <v>238</v>
      </c>
      <c r="W1100" s="254" t="str">
        <f>IFERROR(VLOOKUP(V1100,TD!$N$34:$O$46,2,0)," ")</f>
        <v>Sedes mantenidas</v>
      </c>
      <c r="X1100" s="296" t="str">
        <f>CONCATENATE(V1100,"_",W1100)</f>
        <v>016_Sedes mantenidas</v>
      </c>
      <c r="Y1100" s="296" t="str">
        <f>CONCATENATE(U1100," ",X1100)</f>
        <v>08-Infraestructura física, mantenimiento y dotación (Sedes construidas, mantenidas reforzadas) 016_Sedes mantenidas</v>
      </c>
      <c r="Z1100" s="300" t="str">
        <f>CONCATENATE(P1100,Q1100,R1100,S1100,V1100)</f>
        <v>O23011745992024020708016</v>
      </c>
      <c r="AA1100" s="300" t="str">
        <f>IFERROR(VLOOKUP(Y1100,TD!$K$47:$L$65,2,0)," ")</f>
        <v>PM/0131/0108/45990160207</v>
      </c>
      <c r="AB1100" s="53" t="s">
        <v>147</v>
      </c>
      <c r="AC1100" s="301" t="s">
        <v>205</v>
      </c>
    </row>
    <row r="1101" spans="2:29" ht="70" x14ac:dyDescent="0.35">
      <c r="B1101" s="132">
        <v>20251211</v>
      </c>
      <c r="C1101" s="133" t="s">
        <v>346</v>
      </c>
      <c r="D1101" s="298" t="s">
        <v>166</v>
      </c>
      <c r="E1101" s="302" t="s">
        <v>558</v>
      </c>
      <c r="F1101" s="298" t="s">
        <v>1381</v>
      </c>
      <c r="G1101" s="298" t="s">
        <v>96</v>
      </c>
      <c r="H1101" s="134" t="s">
        <v>560</v>
      </c>
      <c r="I1101" s="299">
        <v>12</v>
      </c>
      <c r="J1101" s="299">
        <v>0</v>
      </c>
      <c r="K1101" s="135">
        <v>18</v>
      </c>
      <c r="L1101" s="131">
        <v>16481819</v>
      </c>
      <c r="M1101" s="142" t="s">
        <v>172</v>
      </c>
      <c r="N1101" s="131" t="s">
        <v>123</v>
      </c>
      <c r="O1101" s="302" t="s">
        <v>347</v>
      </c>
      <c r="P1101" s="300" t="str">
        <f>IFERROR(VLOOKUP(C1101,TD!$B$33:$F$37,2,0)," ")</f>
        <v>NA</v>
      </c>
      <c r="Q1101" s="300" t="str">
        <f>IFERROR(VLOOKUP(C1101,TD!$B$33:$F$37,3,0)," ")</f>
        <v>NA</v>
      </c>
      <c r="R1101" s="300" t="str">
        <f>IFERROR(VLOOKUP(C1101,TD!$B$33:$F$37,4,0)," ")</f>
        <v>NA</v>
      </c>
      <c r="S1101" s="51" t="s">
        <v>406</v>
      </c>
      <c r="T1101" s="254" t="str">
        <f>IFERROR(VLOOKUP(S1101,TD!$J$34:$K$44,2,0)," ")</f>
        <v>N/A</v>
      </c>
      <c r="U1101" s="296" t="str">
        <f>CONCATENATE(S1101,"-",T1101)</f>
        <v>N/A-N/A</v>
      </c>
      <c r="V1101" s="51" t="s">
        <v>406</v>
      </c>
      <c r="W1101" s="254" t="str">
        <f>IFERROR(VLOOKUP(V1101,TD!$N$34:$O$46,2,0)," ")</f>
        <v>N/A</v>
      </c>
      <c r="X1101" s="296" t="str">
        <f>CONCATENATE(V1101,"_",W1101)</f>
        <v>N/A_N/A</v>
      </c>
      <c r="Y1101" s="296" t="str">
        <f>CONCATENATE(U1101," ",X1101)</f>
        <v>N/A-N/A N/A_N/A</v>
      </c>
      <c r="Z1101" s="300" t="str">
        <f>CONCATENATE(P1101,Q1101,R1101,S1101,V1101)</f>
        <v>NANANAN/AN/A</v>
      </c>
      <c r="AA1101" s="300" t="str">
        <f>IFERROR(VLOOKUP(Y1101,TD!$K$47:$L$65,2,0)," ")</f>
        <v>N/A</v>
      </c>
      <c r="AB1101" s="53" t="s">
        <v>348</v>
      </c>
      <c r="AC1101" s="301" t="s">
        <v>205</v>
      </c>
    </row>
    <row r="1102" spans="2:29" ht="84" x14ac:dyDescent="0.35">
      <c r="B1102" s="132">
        <v>20251212</v>
      </c>
      <c r="C1102" s="133" t="s">
        <v>346</v>
      </c>
      <c r="D1102" s="298" t="s">
        <v>166</v>
      </c>
      <c r="E1102" s="302" t="s">
        <v>558</v>
      </c>
      <c r="F1102" s="298" t="s">
        <v>1382</v>
      </c>
      <c r="G1102" s="298" t="s">
        <v>119</v>
      </c>
      <c r="H1102" s="134" t="s">
        <v>638</v>
      </c>
      <c r="I1102" s="299">
        <v>12</v>
      </c>
      <c r="J1102" s="299">
        <v>0</v>
      </c>
      <c r="K1102" s="135">
        <v>0</v>
      </c>
      <c r="L1102" s="131">
        <v>5000000</v>
      </c>
      <c r="M1102" s="142" t="s">
        <v>172</v>
      </c>
      <c r="N1102" s="131" t="s">
        <v>100</v>
      </c>
      <c r="O1102" s="302" t="s">
        <v>347</v>
      </c>
      <c r="P1102" s="300" t="str">
        <f>IFERROR(VLOOKUP(C1102,TD!$B$33:$F$37,2,0)," ")</f>
        <v>NA</v>
      </c>
      <c r="Q1102" s="300" t="str">
        <f>IFERROR(VLOOKUP(C1102,TD!$B$33:$F$37,3,0)," ")</f>
        <v>NA</v>
      </c>
      <c r="R1102" s="300" t="str">
        <f>IFERROR(VLOOKUP(C1102,TD!$B$33:$F$37,4,0)," ")</f>
        <v>NA</v>
      </c>
      <c r="S1102" s="51" t="s">
        <v>406</v>
      </c>
      <c r="T1102" s="254" t="str">
        <f>IFERROR(VLOOKUP(S1102,TD!$J$34:$K$44,2,0)," ")</f>
        <v>N/A</v>
      </c>
      <c r="U1102" s="296" t="str">
        <f>CONCATENATE(S1102,"-",T1102)</f>
        <v>N/A-N/A</v>
      </c>
      <c r="V1102" s="51" t="s">
        <v>406</v>
      </c>
      <c r="W1102" s="254" t="str">
        <f>IFERROR(VLOOKUP(V1102,TD!$N$34:$O$46,2,0)," ")</f>
        <v>N/A</v>
      </c>
      <c r="X1102" s="296" t="str">
        <f>CONCATENATE(V1102,"_",W1102)</f>
        <v>N/A_N/A</v>
      </c>
      <c r="Y1102" s="296" t="str">
        <f>CONCATENATE(U1102," ",X1102)</f>
        <v>N/A-N/A N/A_N/A</v>
      </c>
      <c r="Z1102" s="300" t="str">
        <f>CONCATENATE(P1102,Q1102,R1102,S1102,V1102)</f>
        <v>NANANAN/AN/A</v>
      </c>
      <c r="AA1102" s="300" t="str">
        <f>IFERROR(VLOOKUP(Y1102,TD!$K$47:$L$65,2,0)," ")</f>
        <v>N/A</v>
      </c>
      <c r="AB1102" s="53" t="s">
        <v>348</v>
      </c>
      <c r="AC1102" s="301" t="s">
        <v>205</v>
      </c>
    </row>
    <row r="1103" spans="2:29" ht="98" x14ac:dyDescent="0.35">
      <c r="B1103" s="132">
        <v>20251213</v>
      </c>
      <c r="C1103" s="133" t="s">
        <v>346</v>
      </c>
      <c r="D1103" s="298" t="s">
        <v>166</v>
      </c>
      <c r="E1103" s="302" t="s">
        <v>558</v>
      </c>
      <c r="F1103" s="298" t="s">
        <v>1383</v>
      </c>
      <c r="G1103" s="298" t="s">
        <v>96</v>
      </c>
      <c r="H1103" s="134" t="s">
        <v>637</v>
      </c>
      <c r="I1103" s="299">
        <v>12</v>
      </c>
      <c r="J1103" s="299">
        <v>0</v>
      </c>
      <c r="K1103" s="135">
        <v>0</v>
      </c>
      <c r="L1103" s="131">
        <v>12317698</v>
      </c>
      <c r="M1103" s="142" t="s">
        <v>172</v>
      </c>
      <c r="N1103" s="131" t="s">
        <v>100</v>
      </c>
      <c r="O1103" s="302" t="s">
        <v>347</v>
      </c>
      <c r="P1103" s="300" t="str">
        <f>IFERROR(VLOOKUP(C1103,TD!$B$33:$F$37,2,0)," ")</f>
        <v>NA</v>
      </c>
      <c r="Q1103" s="300" t="str">
        <f>IFERROR(VLOOKUP(C1103,TD!$B$33:$F$37,3,0)," ")</f>
        <v>NA</v>
      </c>
      <c r="R1103" s="300" t="str">
        <f>IFERROR(VLOOKUP(C1103,TD!$B$33:$F$37,4,0)," ")</f>
        <v>NA</v>
      </c>
      <c r="S1103" s="51" t="s">
        <v>406</v>
      </c>
      <c r="T1103" s="254" t="str">
        <f>IFERROR(VLOOKUP(S1103,TD!$J$34:$K$44,2,0)," ")</f>
        <v>N/A</v>
      </c>
      <c r="U1103" s="296" t="str">
        <f>CONCATENATE(S1103,"-",T1103)</f>
        <v>N/A-N/A</v>
      </c>
      <c r="V1103" s="51" t="s">
        <v>406</v>
      </c>
      <c r="W1103" s="254" t="str">
        <f>IFERROR(VLOOKUP(V1103,TD!$N$34:$O$46,2,0)," ")</f>
        <v>N/A</v>
      </c>
      <c r="X1103" s="296" t="str">
        <f>CONCATENATE(V1103,"_",W1103)</f>
        <v>N/A_N/A</v>
      </c>
      <c r="Y1103" s="296" t="str">
        <f>CONCATENATE(U1103," ",X1103)</f>
        <v>N/A-N/A N/A_N/A</v>
      </c>
      <c r="Z1103" s="300" t="str">
        <f>CONCATENATE(P1103,Q1103,R1103,S1103,V1103)</f>
        <v>NANANAN/AN/A</v>
      </c>
      <c r="AA1103" s="300" t="str">
        <f>IFERROR(VLOOKUP(Y1103,TD!$K$47:$L$65,2,0)," ")</f>
        <v>N/A</v>
      </c>
      <c r="AB1103" s="53" t="s">
        <v>348</v>
      </c>
      <c r="AC1103" s="301" t="s">
        <v>205</v>
      </c>
    </row>
    <row r="1104" spans="2:29" ht="84" x14ac:dyDescent="0.35">
      <c r="B1104" s="132">
        <v>20251214</v>
      </c>
      <c r="C1104" s="133" t="s">
        <v>346</v>
      </c>
      <c r="D1104" s="298" t="s">
        <v>166</v>
      </c>
      <c r="E1104" s="302" t="s">
        <v>558</v>
      </c>
      <c r="F1104" s="298" t="s">
        <v>1384</v>
      </c>
      <c r="G1104" s="298" t="s">
        <v>137</v>
      </c>
      <c r="H1104" s="134" t="s">
        <v>406</v>
      </c>
      <c r="I1104" s="299" t="s">
        <v>406</v>
      </c>
      <c r="J1104" s="299" t="s">
        <v>406</v>
      </c>
      <c r="K1104" s="135" t="s">
        <v>406</v>
      </c>
      <c r="L1104" s="131">
        <v>2499990</v>
      </c>
      <c r="M1104" s="142" t="s">
        <v>173</v>
      </c>
      <c r="N1104" s="131" t="s">
        <v>128</v>
      </c>
      <c r="O1104" s="302" t="s">
        <v>347</v>
      </c>
      <c r="P1104" s="300" t="str">
        <f>IFERROR(VLOOKUP(C1104,TD!$B$33:$F$37,2,0)," ")</f>
        <v>NA</v>
      </c>
      <c r="Q1104" s="300" t="str">
        <f>IFERROR(VLOOKUP(C1104,TD!$B$33:$F$37,3,0)," ")</f>
        <v>NA</v>
      </c>
      <c r="R1104" s="300" t="str">
        <f>IFERROR(VLOOKUP(C1104,TD!$B$33:$F$37,4,0)," ")</f>
        <v>NA</v>
      </c>
      <c r="S1104" s="51" t="s">
        <v>406</v>
      </c>
      <c r="T1104" s="254" t="str">
        <f>IFERROR(VLOOKUP(S1104,TD!$J$34:$K$44,2,0)," ")</f>
        <v>N/A</v>
      </c>
      <c r="U1104" s="296" t="str">
        <f>CONCATENATE(S1104,"-",T1104)</f>
        <v>N/A-N/A</v>
      </c>
      <c r="V1104" s="51" t="s">
        <v>406</v>
      </c>
      <c r="W1104" s="254" t="str">
        <f>IFERROR(VLOOKUP(V1104,TD!$N$34:$O$46,2,0)," ")</f>
        <v>N/A</v>
      </c>
      <c r="X1104" s="296" t="str">
        <f>CONCATENATE(V1104,"_",W1104)</f>
        <v>N/A_N/A</v>
      </c>
      <c r="Y1104" s="296" t="str">
        <f>CONCATENATE(U1104," ",X1104)</f>
        <v>N/A-N/A N/A_N/A</v>
      </c>
      <c r="Z1104" s="300" t="str">
        <f>CONCATENATE(P1104,Q1104,R1104,S1104,V1104)</f>
        <v>NANANAN/AN/A</v>
      </c>
      <c r="AA1104" s="300" t="str">
        <f>IFERROR(VLOOKUP(Y1104,TD!$K$47:$L$65,2,0)," ")</f>
        <v>N/A</v>
      </c>
      <c r="AB1104" s="53" t="s">
        <v>348</v>
      </c>
      <c r="AC1104" s="301" t="s">
        <v>205</v>
      </c>
    </row>
    <row r="1105" spans="2:29" ht="84" x14ac:dyDescent="0.35">
      <c r="B1105" s="132">
        <v>20251215</v>
      </c>
      <c r="C1105" s="133" t="s">
        <v>346</v>
      </c>
      <c r="D1105" s="298" t="s">
        <v>166</v>
      </c>
      <c r="E1105" s="302" t="s">
        <v>558</v>
      </c>
      <c r="F1105" s="298" t="s">
        <v>1385</v>
      </c>
      <c r="G1105" s="298" t="s">
        <v>137</v>
      </c>
      <c r="H1105" s="134" t="s">
        <v>406</v>
      </c>
      <c r="I1105" s="299" t="s">
        <v>406</v>
      </c>
      <c r="J1105" s="299" t="s">
        <v>406</v>
      </c>
      <c r="K1105" s="135" t="s">
        <v>406</v>
      </c>
      <c r="L1105" s="131">
        <v>4255729</v>
      </c>
      <c r="M1105" s="142" t="s">
        <v>173</v>
      </c>
      <c r="N1105" s="131" t="s">
        <v>128</v>
      </c>
      <c r="O1105" s="302" t="s">
        <v>347</v>
      </c>
      <c r="P1105" s="300" t="str">
        <f>IFERROR(VLOOKUP(C1105,TD!$B$33:$F$37,2,0)," ")</f>
        <v>NA</v>
      </c>
      <c r="Q1105" s="300" t="str">
        <f>IFERROR(VLOOKUP(C1105,TD!$B$33:$F$37,3,0)," ")</f>
        <v>NA</v>
      </c>
      <c r="R1105" s="300" t="str">
        <f>IFERROR(VLOOKUP(C1105,TD!$B$33:$F$37,4,0)," ")</f>
        <v>NA</v>
      </c>
      <c r="S1105" s="302" t="s">
        <v>406</v>
      </c>
      <c r="T1105" s="254" t="str">
        <f>IFERROR(VLOOKUP(S1105,TD!$J$34:$K$44,2,0)," ")</f>
        <v>N/A</v>
      </c>
      <c r="U1105" s="296" t="str">
        <f>CONCATENATE(S1105,"-",T1105)</f>
        <v>N/A-N/A</v>
      </c>
      <c r="V1105" s="302" t="s">
        <v>406</v>
      </c>
      <c r="W1105" s="254" t="str">
        <f>IFERROR(VLOOKUP(V1105,TD!$N$34:$O$46,2,0)," ")</f>
        <v>N/A</v>
      </c>
      <c r="X1105" s="296" t="str">
        <f>CONCATENATE(V1105,"_",W1105)</f>
        <v>N/A_N/A</v>
      </c>
      <c r="Y1105" s="296" t="str">
        <f>CONCATENATE(U1105," ",X1105)</f>
        <v>N/A-N/A N/A_N/A</v>
      </c>
      <c r="Z1105" s="300" t="str">
        <f>CONCATENATE(P1105,Q1105,R1105,S1105,V1105)</f>
        <v>NANANAN/AN/A</v>
      </c>
      <c r="AA1105" s="300" t="str">
        <f>IFERROR(VLOOKUP(Y1105,TD!$K$47:$L$65,2,0)," ")</f>
        <v>N/A</v>
      </c>
      <c r="AB1105" s="131" t="s">
        <v>348</v>
      </c>
      <c r="AC1105" s="301" t="s">
        <v>205</v>
      </c>
    </row>
    <row r="1106" spans="2:29" ht="85" customHeight="1" x14ac:dyDescent="0.35">
      <c r="B1106" s="132">
        <v>20251216</v>
      </c>
      <c r="C1106" s="133" t="s">
        <v>346</v>
      </c>
      <c r="D1106" s="298" t="s">
        <v>166</v>
      </c>
      <c r="E1106" s="302" t="s">
        <v>558</v>
      </c>
      <c r="F1106" s="298" t="s">
        <v>1386</v>
      </c>
      <c r="G1106" s="298" t="s">
        <v>96</v>
      </c>
      <c r="H1106" s="134" t="s">
        <v>843</v>
      </c>
      <c r="I1106" s="299">
        <v>12</v>
      </c>
      <c r="J1106" s="299">
        <v>1</v>
      </c>
      <c r="K1106" s="135">
        <v>0</v>
      </c>
      <c r="L1106" s="131">
        <v>50000000</v>
      </c>
      <c r="M1106" s="142" t="s">
        <v>172</v>
      </c>
      <c r="N1106" s="131" t="s">
        <v>618</v>
      </c>
      <c r="O1106" s="302" t="s">
        <v>347</v>
      </c>
      <c r="P1106" s="300" t="str">
        <f>IFERROR(VLOOKUP(C1106,TD!$B$33:$F$37,2,0)," ")</f>
        <v>NA</v>
      </c>
      <c r="Q1106" s="300" t="str">
        <f>IFERROR(VLOOKUP(C1106,TD!$B$33:$F$37,3,0)," ")</f>
        <v>NA</v>
      </c>
      <c r="R1106" s="300" t="str">
        <f>IFERROR(VLOOKUP(C1106,TD!$B$33:$F$37,4,0)," ")</f>
        <v>NA</v>
      </c>
      <c r="S1106" s="302" t="s">
        <v>406</v>
      </c>
      <c r="T1106" s="254" t="str">
        <f>IFERROR(VLOOKUP(S1106,TD!$J$34:$K$44,2,0)," ")</f>
        <v>N/A</v>
      </c>
      <c r="U1106" s="296" t="str">
        <f>CONCATENATE(S1106,"-",T1106)</f>
        <v>N/A-N/A</v>
      </c>
      <c r="V1106" s="302" t="s">
        <v>406</v>
      </c>
      <c r="W1106" s="254" t="str">
        <f>IFERROR(VLOOKUP(V1106,TD!$N$34:$O$46,2,0)," ")</f>
        <v>N/A</v>
      </c>
      <c r="X1106" s="296" t="str">
        <f>CONCATENATE(V1106,"_",W1106)</f>
        <v>N/A_N/A</v>
      </c>
      <c r="Y1106" s="296" t="str">
        <f>CONCATENATE(U1106," ",X1106)</f>
        <v>N/A-N/A N/A_N/A</v>
      </c>
      <c r="Z1106" s="300" t="str">
        <f>CONCATENATE(P1106,Q1106,R1106,S1106,V1106)</f>
        <v>NANANAN/AN/A</v>
      </c>
      <c r="AA1106" s="300" t="str">
        <f>IFERROR(VLOOKUP(Y1106,TD!$K$47:$L$65,2,0)," ")</f>
        <v>N/A</v>
      </c>
      <c r="AB1106" s="131" t="s">
        <v>348</v>
      </c>
      <c r="AC1106" s="301" t="s">
        <v>205</v>
      </c>
    </row>
    <row r="1107" spans="2:29" ht="56" x14ac:dyDescent="0.35">
      <c r="B1107" s="230">
        <v>20251217</v>
      </c>
      <c r="C1107" s="232" t="s">
        <v>346</v>
      </c>
      <c r="D1107" s="357" t="s">
        <v>164</v>
      </c>
      <c r="E1107" s="359" t="s">
        <v>389</v>
      </c>
      <c r="F1107" s="357" t="s">
        <v>703</v>
      </c>
      <c r="G1107" s="357" t="s">
        <v>155</v>
      </c>
      <c r="H1107" s="237">
        <v>80111600</v>
      </c>
      <c r="I1107" s="358">
        <v>12</v>
      </c>
      <c r="J1107" s="358">
        <v>4</v>
      </c>
      <c r="K1107" s="239">
        <v>19</v>
      </c>
      <c r="L1107" s="241">
        <v>32500000</v>
      </c>
      <c r="M1107" s="244" t="s">
        <v>172</v>
      </c>
      <c r="N1107" s="241" t="s">
        <v>113</v>
      </c>
      <c r="O1107" s="359" t="s">
        <v>347</v>
      </c>
      <c r="P1107" s="360" t="str">
        <f>IFERROR(VLOOKUP(C1107,TD!$B$33:$F$37,2,0)," ")</f>
        <v>NA</v>
      </c>
      <c r="Q1107" s="360" t="str">
        <f>IFERROR(VLOOKUP(C1107,TD!$B$33:$F$37,3,0)," ")</f>
        <v>NA</v>
      </c>
      <c r="R1107" s="360" t="str">
        <f>IFERROR(VLOOKUP(C1107,TD!$B$33:$F$37,4,0)," ")</f>
        <v>NA</v>
      </c>
      <c r="S1107" s="359" t="s">
        <v>406</v>
      </c>
      <c r="T1107" s="254" t="str">
        <f>IFERROR(VLOOKUP(S1107,TD!$J$34:$K$44,2,0)," ")</f>
        <v>N/A</v>
      </c>
      <c r="U1107" s="296" t="str">
        <f>CONCATENATE(S1107,"-",T1107)</f>
        <v>N/A-N/A</v>
      </c>
      <c r="V1107" s="359" t="s">
        <v>406</v>
      </c>
      <c r="W1107" s="254" t="str">
        <f>IFERROR(VLOOKUP(V1107,TD!$N$34:$O$46,2,0)," ")</f>
        <v>N/A</v>
      </c>
      <c r="X1107" s="296" t="str">
        <f>CONCATENATE(V1107,"_",W1107)</f>
        <v>N/A_N/A</v>
      </c>
      <c r="Y1107" s="296" t="str">
        <f>CONCATENATE(U1107," ",X1107)</f>
        <v>N/A-N/A N/A_N/A</v>
      </c>
      <c r="Z1107" s="360" t="str">
        <f>CONCATENATE(P1107,Q1107,R1107,S1107,V1107)</f>
        <v>NANANAN/AN/A</v>
      </c>
      <c r="AA1107" s="360" t="str">
        <f>IFERROR(VLOOKUP(Y1107,TD!$K$47:$L$65,2,0)," ")</f>
        <v>N/A</v>
      </c>
      <c r="AB1107" s="241" t="s">
        <v>348</v>
      </c>
      <c r="AC1107" s="361" t="s">
        <v>204</v>
      </c>
    </row>
    <row r="1108" spans="2:29" ht="70" x14ac:dyDescent="0.35">
      <c r="B1108" s="363">
        <v>20251218</v>
      </c>
      <c r="C1108" s="364" t="s">
        <v>209</v>
      </c>
      <c r="D1108" s="366" t="s">
        <v>169</v>
      </c>
      <c r="E1108" s="368" t="s">
        <v>465</v>
      </c>
      <c r="F1108" s="366" t="s">
        <v>1388</v>
      </c>
      <c r="G1108" s="366" t="s">
        <v>155</v>
      </c>
      <c r="H1108" s="370">
        <v>80111600</v>
      </c>
      <c r="I1108" s="372">
        <v>12</v>
      </c>
      <c r="J1108" s="372">
        <v>0</v>
      </c>
      <c r="K1108" s="374">
        <v>15</v>
      </c>
      <c r="L1108" s="375">
        <v>2250000</v>
      </c>
      <c r="M1108" s="376" t="s">
        <v>464</v>
      </c>
      <c r="N1108" s="375" t="s">
        <v>113</v>
      </c>
      <c r="O1108" s="368" t="s">
        <v>222</v>
      </c>
      <c r="P1108" s="378" t="str">
        <f>IFERROR(VLOOKUP(C1108,TD!$B$33:$F$37,2,0)," ")</f>
        <v>O230117</v>
      </c>
      <c r="Q1108" s="378" t="str">
        <f>IFERROR(VLOOKUP(C1108,TD!$B$33:$F$37,3,0)," ")</f>
        <v>4503</v>
      </c>
      <c r="R1108" s="378">
        <f>IFERROR(VLOOKUP(C1108,TD!$B$33:$F$37,4,0)," ")</f>
        <v>20240255</v>
      </c>
      <c r="S1108" s="359" t="s">
        <v>175</v>
      </c>
      <c r="T1108" s="254" t="str">
        <f>IFERROR(VLOOKUP(S1108,TD!$J$34:$K$44,2,0)," ")</f>
        <v>Servicio de atención a incidentes y emergencias.</v>
      </c>
      <c r="U1108" s="296" t="str">
        <f>CONCATENATE(S1108,"-",T1108)</f>
        <v>04-Servicio de atención a incidentes y emergencias.</v>
      </c>
      <c r="V1108" s="359" t="s">
        <v>232</v>
      </c>
      <c r="W1108" s="254" t="str">
        <f>IFERROR(VLOOKUP(V1108,TD!$N$34:$O$46,2,0)," ")</f>
        <v>Servicio de atención a emergencias y desastres</v>
      </c>
      <c r="X1108" s="296" t="str">
        <f>CONCATENATE(V1108,"_",W1108)</f>
        <v>004_Servicio de atención a emergencias y desastres</v>
      </c>
      <c r="Y1108" s="296" t="str">
        <f>CONCATENATE(U1108," ",X1108)</f>
        <v>04-Servicio de atención a incidentes y emergencias. 004_Servicio de atención a emergencias y desastres</v>
      </c>
      <c r="Z1108" s="378" t="str">
        <f>CONCATENATE(P1108,Q1108,R1108,S1108,V1108)</f>
        <v>O23011745032024025504004</v>
      </c>
      <c r="AA1108" s="378" t="str">
        <f>IFERROR(VLOOKUP(Y1108,TD!$K$47:$L$65,2,0)," ")</f>
        <v>PM/0131/0104/45030040255</v>
      </c>
      <c r="AB1108" s="375" t="s">
        <v>138</v>
      </c>
      <c r="AC1108" s="380" t="s">
        <v>205</v>
      </c>
    </row>
    <row r="1109" spans="2:29" ht="70" x14ac:dyDescent="0.35">
      <c r="B1109" s="132">
        <v>20251220</v>
      </c>
      <c r="C1109" s="133" t="s">
        <v>209</v>
      </c>
      <c r="D1109" s="298" t="s">
        <v>166</v>
      </c>
      <c r="E1109" s="302" t="s">
        <v>558</v>
      </c>
      <c r="F1109" s="298" t="s">
        <v>1390</v>
      </c>
      <c r="G1109" s="298" t="s">
        <v>155</v>
      </c>
      <c r="H1109" s="134" t="s">
        <v>606</v>
      </c>
      <c r="I1109" s="299">
        <v>12</v>
      </c>
      <c r="J1109" s="299">
        <v>0</v>
      </c>
      <c r="K1109" s="135">
        <v>13</v>
      </c>
      <c r="L1109" s="131">
        <v>3033333</v>
      </c>
      <c r="M1109" s="142" t="s">
        <v>464</v>
      </c>
      <c r="N1109" s="131" t="s">
        <v>607</v>
      </c>
      <c r="O1109" s="302" t="s">
        <v>230</v>
      </c>
      <c r="P1109" s="300" t="str">
        <f>IFERROR(VLOOKUP(C1109,TD!$B$33:$F$37,2,0)," ")</f>
        <v>O230117</v>
      </c>
      <c r="Q1109" s="300" t="str">
        <f>IFERROR(VLOOKUP(C1109,TD!$B$33:$F$37,3,0)," ")</f>
        <v>4503</v>
      </c>
      <c r="R1109" s="300">
        <f>IFERROR(VLOOKUP(C1109,TD!$B$33:$F$37,4,0)," ")</f>
        <v>20240255</v>
      </c>
      <c r="S1109" s="359" t="s">
        <v>185</v>
      </c>
      <c r="T1109" s="254" t="str">
        <f>IFERROR(VLOOKUP(S1109,TD!$J$34:$K$44,2,0)," ")</f>
        <v>Infraestructura física, mantenimiento y dotación (Sedes construidas, mantenidas reforzadas)</v>
      </c>
      <c r="U1109" s="296" t="str">
        <f>CONCATENATE(S1109,"-",T1109)</f>
        <v>08-Infraestructura física, mantenimiento y dotación (Sedes construidas, mantenidas reforzadas)</v>
      </c>
      <c r="V1109" s="359" t="s">
        <v>294</v>
      </c>
      <c r="W1109" s="254" t="str">
        <f>IFERROR(VLOOKUP(V1109,TD!$N$34:$O$46,2,0)," ")</f>
        <v>Documentos de lineamientos técnicos</v>
      </c>
      <c r="X1109" s="296" t="str">
        <f>CONCATENATE(V1109,"_",W1109)</f>
        <v>031__Documentos de lineamientos técnicos</v>
      </c>
      <c r="Y1109" s="296" t="str">
        <f>CONCATENATE(U1109," ",X1109)</f>
        <v>08-Infraestructura física, mantenimiento y dotación (Sedes construidas, mantenidas reforzadas) 031__Documentos de lineamientos técnicos</v>
      </c>
      <c r="Z1109" s="300" t="str">
        <f>CONCATENATE(P1109,Q1109,R1109,S1109,V1109)</f>
        <v>O23011745032024025508031_</v>
      </c>
      <c r="AA1109" s="300" t="str">
        <f>IFERROR(VLOOKUP(Y1109,TD!$K$47:$L$65,2,0)," ")</f>
        <v>PM/0131/0108/45030310255</v>
      </c>
      <c r="AB1109" s="131" t="s">
        <v>138</v>
      </c>
      <c r="AC1109" s="301" t="s">
        <v>205</v>
      </c>
    </row>
    <row r="1110" spans="2:29" ht="56" x14ac:dyDescent="0.35">
      <c r="B1110" s="132">
        <v>20251221</v>
      </c>
      <c r="C1110" s="133" t="s">
        <v>209</v>
      </c>
      <c r="D1110" s="298" t="s">
        <v>166</v>
      </c>
      <c r="E1110" s="302" t="s">
        <v>558</v>
      </c>
      <c r="F1110" s="298" t="s">
        <v>1391</v>
      </c>
      <c r="G1110" s="298" t="s">
        <v>155</v>
      </c>
      <c r="H1110" s="134" t="s">
        <v>606</v>
      </c>
      <c r="I1110" s="299">
        <v>12</v>
      </c>
      <c r="J1110" s="299">
        <v>0</v>
      </c>
      <c r="K1110" s="135">
        <v>13</v>
      </c>
      <c r="L1110" s="131">
        <v>3250000</v>
      </c>
      <c r="M1110" s="142" t="s">
        <v>464</v>
      </c>
      <c r="N1110" s="131" t="s">
        <v>607</v>
      </c>
      <c r="O1110" s="302" t="s">
        <v>227</v>
      </c>
      <c r="P1110" s="300" t="str">
        <f>IFERROR(VLOOKUP(C1110,TD!$B$33:$F$37,2,0)," ")</f>
        <v>O230117</v>
      </c>
      <c r="Q1110" s="300" t="str">
        <f>IFERROR(VLOOKUP(C1110,TD!$B$33:$F$37,3,0)," ")</f>
        <v>4503</v>
      </c>
      <c r="R1110" s="300">
        <f>IFERROR(VLOOKUP(C1110,TD!$B$33:$F$37,4,0)," ")</f>
        <v>20240255</v>
      </c>
      <c r="S1110" s="359" t="s">
        <v>185</v>
      </c>
      <c r="T1110" s="254" t="str">
        <f>IFERROR(VLOOKUP(S1110,TD!$J$34:$K$44,2,0)," ")</f>
        <v>Infraestructura física, mantenimiento y dotación (Sedes construidas, mantenidas reforzadas)</v>
      </c>
      <c r="U1110" s="296" t="str">
        <f>CONCATENATE(S1110,"-",T1110)</f>
        <v>08-Infraestructura física, mantenimiento y dotación (Sedes construidas, mantenidas reforzadas)</v>
      </c>
      <c r="V1110" s="359" t="s">
        <v>236</v>
      </c>
      <c r="W1110" s="254" t="str">
        <f>IFERROR(VLOOKUP(V1110,TD!$N$34:$O$46,2,0)," ")</f>
        <v>Estaciones de bomberos adecuadas</v>
      </c>
      <c r="X1110" s="296" t="str">
        <f>CONCATENATE(V1110,"_",W1110)</f>
        <v>014_Estaciones de bomberos adecuadas</v>
      </c>
      <c r="Y1110" s="296" t="str">
        <f>CONCATENATE(U1110," ",X1110)</f>
        <v>08-Infraestructura física, mantenimiento y dotación (Sedes construidas, mantenidas reforzadas) 014_Estaciones de bomberos adecuadas</v>
      </c>
      <c r="Z1110" s="300" t="str">
        <f>CONCATENATE(P1110,Q1110,R1110,S1110,V1110)</f>
        <v>O23011745032024025508014</v>
      </c>
      <c r="AA1110" s="300" t="str">
        <f>IFERROR(VLOOKUP(Y1110,TD!$K$47:$L$65,2,0)," ")</f>
        <v>PM/0131/0108/45030140255</v>
      </c>
      <c r="AB1110" s="131" t="s">
        <v>138</v>
      </c>
      <c r="AC1110" s="301" t="s">
        <v>205</v>
      </c>
    </row>
    <row r="1111" spans="2:29" s="107" customFormat="1" ht="126" x14ac:dyDescent="0.35">
      <c r="B1111" s="132">
        <v>20251222</v>
      </c>
      <c r="C1111" s="133" t="s">
        <v>209</v>
      </c>
      <c r="D1111" s="298" t="s">
        <v>166</v>
      </c>
      <c r="E1111" s="302" t="s">
        <v>558</v>
      </c>
      <c r="F1111" s="298" t="s">
        <v>1392</v>
      </c>
      <c r="G1111" s="298" t="s">
        <v>155</v>
      </c>
      <c r="H1111" s="134" t="s">
        <v>606</v>
      </c>
      <c r="I1111" s="299">
        <v>12</v>
      </c>
      <c r="J1111" s="299">
        <v>0</v>
      </c>
      <c r="K1111" s="135">
        <v>13</v>
      </c>
      <c r="L1111" s="131">
        <v>2962598</v>
      </c>
      <c r="M1111" s="142" t="s">
        <v>464</v>
      </c>
      <c r="N1111" s="131" t="s">
        <v>607</v>
      </c>
      <c r="O1111" s="302" t="s">
        <v>227</v>
      </c>
      <c r="P1111" s="300" t="str">
        <f>IFERROR(VLOOKUP(C1111,TD!$B$33:$F$37,2,0)," ")</f>
        <v>O230117</v>
      </c>
      <c r="Q1111" s="300" t="str">
        <f>IFERROR(VLOOKUP(C1111,TD!$B$33:$F$37,3,0)," ")</f>
        <v>4503</v>
      </c>
      <c r="R1111" s="300">
        <f>IFERROR(VLOOKUP(C1111,TD!$B$33:$F$37,4,0)," ")</f>
        <v>20240255</v>
      </c>
      <c r="S1111" s="278" t="s">
        <v>185</v>
      </c>
      <c r="T1111" s="254" t="str">
        <f>IFERROR(VLOOKUP(S1111,TD!$J$34:$K$44,2,0)," ")</f>
        <v>Infraestructura física, mantenimiento y dotación (Sedes construidas, mantenidas reforzadas)</v>
      </c>
      <c r="U1111" s="296" t="str">
        <f>CONCATENATE(S1111,"-",T1111)</f>
        <v>08-Infraestructura física, mantenimiento y dotación (Sedes construidas, mantenidas reforzadas)</v>
      </c>
      <c r="V1111" s="278" t="s">
        <v>236</v>
      </c>
      <c r="W1111" s="254" t="str">
        <f>IFERROR(VLOOKUP(V1111,TD!$N$34:$O$46,2,0)," ")</f>
        <v>Estaciones de bomberos adecuadas</v>
      </c>
      <c r="X1111" s="296" t="str">
        <f>CONCATENATE(V1111,"_",W1111)</f>
        <v>014_Estaciones de bomberos adecuadas</v>
      </c>
      <c r="Y1111" s="296" t="str">
        <f>CONCATENATE(U1111," ",X1111)</f>
        <v>08-Infraestructura física, mantenimiento y dotación (Sedes construidas, mantenidas reforzadas) 014_Estaciones de bomberos adecuadas</v>
      </c>
      <c r="Z1111" s="300" t="str">
        <f>CONCATENATE(P1111,Q1111,R1111,S1111,V1111)</f>
        <v>O23011745032024025508014</v>
      </c>
      <c r="AA1111" s="300" t="str">
        <f>IFERROR(VLOOKUP(Y1111,TD!$K$47:$L$65,2,0)," ")</f>
        <v>PM/0131/0108/45030140255</v>
      </c>
      <c r="AB1111" s="131" t="s">
        <v>138</v>
      </c>
      <c r="AC1111" s="301" t="s">
        <v>205</v>
      </c>
    </row>
  </sheetData>
  <mergeCells count="7">
    <mergeCell ref="M7:O7"/>
    <mergeCell ref="B2:C2"/>
    <mergeCell ref="E3:L3"/>
    <mergeCell ref="E4:L4"/>
    <mergeCell ref="E5:L5"/>
    <mergeCell ref="M4:O4"/>
    <mergeCell ref="M5:O5"/>
  </mergeCells>
  <conditionalFormatting sqref="B1:B1048576">
    <cfRule type="duplicateValues" dxfId="54" priority="2"/>
    <cfRule type="duplicateValues" dxfId="53" priority="3"/>
    <cfRule type="duplicateValues" dxfId="52" priority="5"/>
    <cfRule type="duplicateValues" dxfId="51" priority="6"/>
    <cfRule type="duplicateValues" dxfId="50" priority="8"/>
    <cfRule type="duplicateValues" dxfId="49" priority="10"/>
    <cfRule type="duplicateValues" dxfId="48" priority="11"/>
    <cfRule type="duplicateValues" dxfId="47" priority="18"/>
    <cfRule type="duplicateValues" dxfId="46" priority="3968"/>
    <cfRule type="duplicateValues" dxfId="45" priority="3969"/>
  </conditionalFormatting>
  <conditionalFormatting sqref="E3:E6">
    <cfRule type="duplicateValues" dxfId="44" priority="162" stopIfTrue="1"/>
    <cfRule type="duplicateValues" dxfId="43" priority="163" stopIfTrue="1"/>
    <cfRule type="duplicateValues" dxfId="42" priority="164"/>
    <cfRule type="duplicateValues" dxfId="41" priority="165"/>
    <cfRule type="duplicateValues" dxfId="40" priority="166"/>
  </conditionalFormatting>
  <conditionalFormatting sqref="E3:E9 B5:B641">
    <cfRule type="expression" dxfId="39" priority="3627" stopIfTrue="1">
      <formula>AND(COUNTIF($E$3:$E$9, B3)+COUNTIF(#REF!, B3)&gt;1,NOT(ISBLANK(B3)))</formula>
    </cfRule>
  </conditionalFormatting>
  <conditionalFormatting sqref="B5:B641">
    <cfRule type="duplicateValues" dxfId="38" priority="22762"/>
    <cfRule type="duplicateValues" dxfId="37" priority="22763"/>
    <cfRule type="duplicateValues" dxfId="36" priority="22764"/>
    <cfRule type="duplicateValues" dxfId="35" priority="22765" stopIfTrue="1"/>
  </conditionalFormatting>
  <conditionalFormatting sqref="B11:B1111">
    <cfRule type="expression" dxfId="34" priority="22770" stopIfTrue="1">
      <formula>AND(COUNTIF(#REF!, B11)+COUNTIF($B$2:$B$11, B11)+COUNTIF($B$12:$B$1111, B11)&gt;1,NOT(ISBLANK(B11)))</formula>
    </cfRule>
    <cfRule type="expression" dxfId="33" priority="22771" stopIfTrue="1">
      <formula>AND(COUNTIF($B$2:$B$11, B11)+COUNTIF($B$12:$B$1111, B11)&gt;1,NOT(ISBLANK(B11)))</formula>
    </cfRule>
    <cfRule type="expression" dxfId="32" priority="22772" stopIfTrue="1">
      <formula>AND(COUNTIF(#REF!, B11)+COUNTIF($B$11:$B$11, B11)&gt;1,NOT(ISBLANK(B11)))</formula>
    </cfRule>
    <cfRule type="duplicateValues" dxfId="31" priority="22773" stopIfTrue="1"/>
    <cfRule type="duplicateValues" dxfId="30" priority="22774" stopIfTrue="1"/>
    <cfRule type="duplicateValues" dxfId="29" priority="22775" stopIfTrue="1"/>
    <cfRule type="duplicateValues" dxfId="28" priority="22776" stopIfTrue="1"/>
    <cfRule type="duplicateValues" dxfId="27" priority="22777" stopIfTrue="1"/>
    <cfRule type="duplicateValues" dxfId="26" priority="22778"/>
    <cfRule type="duplicateValues" dxfId="25" priority="22779"/>
    <cfRule type="duplicateValues" dxfId="24" priority="22780" stopIfTrue="1"/>
    <cfRule type="duplicateValues" dxfId="23" priority="22781" stopIfTrue="1"/>
    <cfRule type="duplicateValues" dxfId="22" priority="22782" stopIfTrue="1"/>
    <cfRule type="duplicateValues" dxfId="21" priority="22783" stopIfTrue="1"/>
    <cfRule type="duplicateValues" dxfId="20" priority="22784" stopIfTrue="1"/>
    <cfRule type="duplicateValues" dxfId="19" priority="22785" stopIfTrue="1"/>
    <cfRule type="duplicateValues" dxfId="18" priority="22786" stopIfTrue="1"/>
    <cfRule type="duplicateValues" dxfId="17" priority="22787" stopIfTrue="1"/>
    <cfRule type="duplicateValues" dxfId="16" priority="22788" stopIfTrue="1"/>
    <cfRule type="duplicateValues" dxfId="15" priority="22789" stopIfTrue="1"/>
    <cfRule type="duplicateValues" dxfId="14" priority="22790"/>
    <cfRule type="duplicateValues" dxfId="13" priority="22791"/>
    <cfRule type="duplicateValues" dxfId="12" priority="22792"/>
    <cfRule type="duplicateValues" dxfId="11" priority="22793"/>
  </conditionalFormatting>
  <conditionalFormatting sqref="B12:B1111">
    <cfRule type="duplicateValues" dxfId="10" priority="22818"/>
    <cfRule type="duplicateValues" dxfId="9" priority="22819"/>
    <cfRule type="duplicateValues" dxfId="8" priority="22820"/>
    <cfRule type="duplicateValues" dxfId="7" priority="22821"/>
    <cfRule type="duplicateValues" dxfId="6" priority="22822"/>
    <cfRule type="duplicateValues" dxfId="5" priority="22823"/>
    <cfRule type="duplicateValues" dxfId="4" priority="22824"/>
    <cfRule type="duplicateValues" dxfId="3" priority="22825"/>
    <cfRule type="duplicateValues" dxfId="2" priority="22826"/>
    <cfRule type="duplicateValues" dxfId="1" priority="22827"/>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P4:P5" unlockedFormula="1"/>
  </ignoredErrors>
  <drawing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7000000}">
          <x14:formula1>
            <xm:f>TD!$Q$2:$Q$5</xm:f>
          </x14:formula1>
          <xm:sqref>M1054:M1048576</xm:sqref>
        </x14:dataValidation>
        <x14:dataValidation type="list" allowBlank="1" showInputMessage="1" showErrorMessage="1" xr:uid="{66831970-BB6F-4E58-9A32-1586691E7BC1}">
          <x14:formula1>
            <xm:f>TD!$Q$2:$Q$6</xm:f>
          </x14:formula1>
          <xm:sqref>M12:M1053</xm:sqref>
        </x14:dataValidation>
        <x14:dataValidation type="list" allowBlank="1" showInputMessage="1" showErrorMessage="1" xr:uid="{00000000-0002-0000-0100-000002000000}">
          <x14:formula1>
            <xm:f>TD!$D$2:$D$29</xm:f>
          </x14:formula1>
          <xm:sqref>G12:G1089</xm:sqref>
        </x14:dataValidation>
        <x14:dataValidation type="list" allowBlank="1" showInputMessage="1" showErrorMessage="1" xr:uid="{00000000-0002-0000-0100-000000000000}">
          <x14:formula1>
            <xm:f>TD!$J$3:$J$24</xm:f>
          </x14:formula1>
          <xm:sqref>O12:O1111</xm:sqref>
        </x14:dataValidation>
        <x14:dataValidation type="list" allowBlank="1" showInputMessage="1" showErrorMessage="1" xr:uid="{00000000-0002-0000-0100-000003000000}">
          <x14:formula1>
            <xm:f>TD!$J$34:$J$44</xm:f>
          </x14:formula1>
          <xm:sqref>S12:S1111</xm:sqref>
        </x14:dataValidation>
        <x14:dataValidation type="list" allowBlank="1" showInputMessage="1" showErrorMessage="1" xr:uid="{00000000-0002-0000-0100-000004000000}">
          <x14:formula1>
            <xm:f>TD!$X$34:$X$35</xm:f>
          </x14:formula1>
          <xm:sqref>AC12:AC1111</xm:sqref>
        </x14:dataValidation>
        <x14:dataValidation type="list" allowBlank="1" showInputMessage="1" showErrorMessage="1" xr:uid="{00000000-0002-0000-0100-000005000000}">
          <x14:formula1>
            <xm:f>TD!$B$2:$B$11</xm:f>
          </x14:formula1>
          <xm:sqref>N12:N1111</xm:sqref>
        </x14:dataValidation>
        <x14:dataValidation type="list" allowBlank="1" showInputMessage="1" showErrorMessage="1" xr:uid="{00000000-0002-0000-0100-000009000000}">
          <x14:formula1>
            <xm:f>TD!$N$34:$N$46</xm:f>
          </x14:formula1>
          <xm:sqref>V12:V1111</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TD!$F$2:$F$29</xm:f>
          </x14:formula1>
          <xm:sqref>AB12:AB1048576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8AB5-27DE-4DC7-9938-7282D0CB4339}">
  <dimension ref="A1:F93"/>
  <sheetViews>
    <sheetView zoomScale="70" zoomScaleNormal="70" workbookViewId="0">
      <selection activeCell="C12" sqref="C12"/>
    </sheetView>
  </sheetViews>
  <sheetFormatPr baseColWidth="10" defaultColWidth="28.81640625" defaultRowHeight="14.5" x14ac:dyDescent="0.35"/>
  <cols>
    <col min="5" max="5" width="26" customWidth="1"/>
    <col min="6" max="6" width="26" style="195" customWidth="1"/>
  </cols>
  <sheetData>
    <row r="1" spans="1:6" x14ac:dyDescent="0.35">
      <c r="A1" s="150" t="s">
        <v>71</v>
      </c>
      <c r="B1" t="s">
        <v>1395</v>
      </c>
    </row>
    <row r="2" spans="1:6" x14ac:dyDescent="0.35">
      <c r="A2" s="150" t="s">
        <v>296</v>
      </c>
      <c r="B2" t="s">
        <v>1394</v>
      </c>
    </row>
    <row r="3" spans="1:6" x14ac:dyDescent="0.35">
      <c r="F3"/>
    </row>
    <row r="4" spans="1:6" x14ac:dyDescent="0.35">
      <c r="A4" s="150" t="s">
        <v>446</v>
      </c>
      <c r="B4" s="151" t="s">
        <v>448</v>
      </c>
      <c r="F4"/>
    </row>
    <row r="5" spans="1:6" x14ac:dyDescent="0.35">
      <c r="A5" t="s">
        <v>662</v>
      </c>
      <c r="B5" s="151">
        <v>522657205</v>
      </c>
      <c r="F5"/>
    </row>
    <row r="6" spans="1:6" x14ac:dyDescent="0.35">
      <c r="A6" t="s">
        <v>87</v>
      </c>
      <c r="B6" s="151">
        <v>9676309356</v>
      </c>
      <c r="F6"/>
    </row>
    <row r="7" spans="1:6" x14ac:dyDescent="0.35">
      <c r="A7" t="s">
        <v>1029</v>
      </c>
      <c r="B7" s="151">
        <v>1299751486</v>
      </c>
      <c r="F7"/>
    </row>
    <row r="8" spans="1:6" x14ac:dyDescent="0.35">
      <c r="A8" t="s">
        <v>1027</v>
      </c>
      <c r="B8" s="151">
        <v>20905000</v>
      </c>
      <c r="F8"/>
    </row>
    <row r="9" spans="1:6" x14ac:dyDescent="0.35">
      <c r="A9" t="s">
        <v>1028</v>
      </c>
      <c r="B9" s="151">
        <v>43060571</v>
      </c>
      <c r="F9"/>
    </row>
    <row r="10" spans="1:6" x14ac:dyDescent="0.35">
      <c r="A10" t="s">
        <v>92</v>
      </c>
      <c r="B10" s="151">
        <v>1147204091</v>
      </c>
      <c r="F10"/>
    </row>
    <row r="11" spans="1:6" x14ac:dyDescent="0.35">
      <c r="A11" t="s">
        <v>1026</v>
      </c>
      <c r="B11" s="151">
        <v>26107270</v>
      </c>
      <c r="F11"/>
    </row>
    <row r="12" spans="1:6" x14ac:dyDescent="0.35">
      <c r="A12" t="s">
        <v>1030</v>
      </c>
      <c r="B12" s="151">
        <v>29999090</v>
      </c>
      <c r="F12"/>
    </row>
    <row r="13" spans="1:6" x14ac:dyDescent="0.35">
      <c r="A13" t="s">
        <v>97</v>
      </c>
      <c r="B13" s="151">
        <v>5673076390</v>
      </c>
      <c r="F13"/>
    </row>
    <row r="14" spans="1:6" x14ac:dyDescent="0.35">
      <c r="A14" t="s">
        <v>102</v>
      </c>
      <c r="B14" s="151">
        <v>9675992828</v>
      </c>
      <c r="F14"/>
    </row>
    <row r="15" spans="1:6" x14ac:dyDescent="0.35">
      <c r="A15" t="s">
        <v>110</v>
      </c>
      <c r="B15" s="151">
        <v>431219617</v>
      </c>
      <c r="F15"/>
    </row>
    <row r="16" spans="1:6" x14ac:dyDescent="0.35">
      <c r="A16" t="s">
        <v>120</v>
      </c>
      <c r="B16" s="151">
        <v>4574693483</v>
      </c>
      <c r="F16"/>
    </row>
    <row r="17" spans="1:6" x14ac:dyDescent="0.35">
      <c r="A17" t="s">
        <v>125</v>
      </c>
      <c r="B17" s="151">
        <v>2293674460</v>
      </c>
      <c r="F17"/>
    </row>
    <row r="18" spans="1:6" x14ac:dyDescent="0.35">
      <c r="A18" t="s">
        <v>130</v>
      </c>
      <c r="B18" s="151">
        <v>1523098744</v>
      </c>
      <c r="F18"/>
    </row>
    <row r="19" spans="1:6" x14ac:dyDescent="0.35">
      <c r="A19" t="s">
        <v>134</v>
      </c>
      <c r="B19" s="151">
        <v>105000000</v>
      </c>
      <c r="F19"/>
    </row>
    <row r="20" spans="1:6" x14ac:dyDescent="0.35">
      <c r="A20" t="s">
        <v>138</v>
      </c>
      <c r="B20" s="151">
        <v>25113990962</v>
      </c>
      <c r="F20"/>
    </row>
    <row r="21" spans="1:6" x14ac:dyDescent="0.35">
      <c r="A21" t="s">
        <v>141</v>
      </c>
      <c r="B21" s="151">
        <v>904234129</v>
      </c>
      <c r="F21"/>
    </row>
    <row r="22" spans="1:6" x14ac:dyDescent="0.35">
      <c r="A22" t="s">
        <v>143</v>
      </c>
      <c r="B22" s="151">
        <v>294823435</v>
      </c>
      <c r="F22"/>
    </row>
    <row r="23" spans="1:6" x14ac:dyDescent="0.35">
      <c r="A23" t="s">
        <v>145</v>
      </c>
      <c r="B23" s="151">
        <v>3900000000</v>
      </c>
      <c r="F23"/>
    </row>
    <row r="24" spans="1:6" x14ac:dyDescent="0.35">
      <c r="A24" t="s">
        <v>147</v>
      </c>
      <c r="B24" s="151">
        <v>871628883</v>
      </c>
      <c r="F24"/>
    </row>
    <row r="25" spans="1:6" x14ac:dyDescent="0.35">
      <c r="A25" t="s">
        <v>447</v>
      </c>
      <c r="B25" s="151">
        <v>68127427000</v>
      </c>
      <c r="F25"/>
    </row>
    <row r="26" spans="1:6" x14ac:dyDescent="0.35">
      <c r="F26"/>
    </row>
    <row r="27" spans="1:6" x14ac:dyDescent="0.35">
      <c r="F27"/>
    </row>
    <row r="28" spans="1:6" x14ac:dyDescent="0.35">
      <c r="F28"/>
    </row>
    <row r="29" spans="1:6" x14ac:dyDescent="0.35">
      <c r="F29"/>
    </row>
    <row r="30" spans="1:6" x14ac:dyDescent="0.35">
      <c r="F30"/>
    </row>
    <row r="31" spans="1:6" x14ac:dyDescent="0.35">
      <c r="F31"/>
    </row>
    <row r="32" spans="1:6" x14ac:dyDescent="0.35">
      <c r="F32"/>
    </row>
    <row r="33" spans="6:6" x14ac:dyDescent="0.35">
      <c r="F33"/>
    </row>
    <row r="34" spans="6:6" x14ac:dyDescent="0.35">
      <c r="F34"/>
    </row>
    <row r="35" spans="6:6" x14ac:dyDescent="0.35">
      <c r="F35"/>
    </row>
    <row r="36" spans="6:6" x14ac:dyDescent="0.35">
      <c r="F36"/>
    </row>
    <row r="37" spans="6:6" x14ac:dyDescent="0.35">
      <c r="F37"/>
    </row>
    <row r="38" spans="6:6" x14ac:dyDescent="0.35">
      <c r="F38"/>
    </row>
    <row r="39" spans="6:6" x14ac:dyDescent="0.35">
      <c r="F39"/>
    </row>
    <row r="40" spans="6:6" x14ac:dyDescent="0.35">
      <c r="F40"/>
    </row>
    <row r="41" spans="6:6" x14ac:dyDescent="0.35">
      <c r="F41"/>
    </row>
    <row r="42" spans="6:6" x14ac:dyDescent="0.35">
      <c r="F42"/>
    </row>
    <row r="43" spans="6:6" x14ac:dyDescent="0.35">
      <c r="F43"/>
    </row>
    <row r="44" spans="6:6" x14ac:dyDescent="0.35">
      <c r="F44"/>
    </row>
    <row r="45" spans="6:6" x14ac:dyDescent="0.35">
      <c r="F45"/>
    </row>
    <row r="46" spans="6:6" x14ac:dyDescent="0.35">
      <c r="F46"/>
    </row>
    <row r="47" spans="6:6" x14ac:dyDescent="0.35">
      <c r="F47"/>
    </row>
    <row r="48" spans="6:6" x14ac:dyDescent="0.35">
      <c r="F48"/>
    </row>
    <row r="49" spans="6:6" x14ac:dyDescent="0.35">
      <c r="F49"/>
    </row>
    <row r="50" spans="6:6" x14ac:dyDescent="0.35">
      <c r="F50"/>
    </row>
    <row r="51" spans="6:6" x14ac:dyDescent="0.35">
      <c r="F51"/>
    </row>
    <row r="52" spans="6:6" x14ac:dyDescent="0.35">
      <c r="F52"/>
    </row>
    <row r="53" spans="6:6" x14ac:dyDescent="0.35">
      <c r="F53"/>
    </row>
    <row r="54" spans="6:6" x14ac:dyDescent="0.35">
      <c r="F54"/>
    </row>
    <row r="55" spans="6:6" x14ac:dyDescent="0.35">
      <c r="F55"/>
    </row>
    <row r="56" spans="6:6" x14ac:dyDescent="0.35">
      <c r="F56"/>
    </row>
    <row r="57" spans="6:6" x14ac:dyDescent="0.35">
      <c r="F57"/>
    </row>
    <row r="58" spans="6:6" x14ac:dyDescent="0.35">
      <c r="F58"/>
    </row>
    <row r="59" spans="6:6" x14ac:dyDescent="0.35">
      <c r="F59"/>
    </row>
    <row r="60" spans="6:6" x14ac:dyDescent="0.35">
      <c r="F60"/>
    </row>
    <row r="61" spans="6:6" x14ac:dyDescent="0.35">
      <c r="F61"/>
    </row>
    <row r="62" spans="6:6" x14ac:dyDescent="0.35">
      <c r="F62"/>
    </row>
    <row r="63" spans="6:6" x14ac:dyDescent="0.35">
      <c r="F63"/>
    </row>
    <row r="64" spans="6:6" x14ac:dyDescent="0.35">
      <c r="F64"/>
    </row>
    <row r="65" spans="6:6" x14ac:dyDescent="0.35">
      <c r="F65"/>
    </row>
    <row r="66" spans="6:6" x14ac:dyDescent="0.35">
      <c r="F66"/>
    </row>
    <row r="67" spans="6:6" x14ac:dyDescent="0.35">
      <c r="F67"/>
    </row>
    <row r="68" spans="6:6" x14ac:dyDescent="0.35">
      <c r="F68"/>
    </row>
    <row r="69" spans="6:6" x14ac:dyDescent="0.35">
      <c r="F69"/>
    </row>
    <row r="70" spans="6:6" x14ac:dyDescent="0.35">
      <c r="F70"/>
    </row>
    <row r="71" spans="6:6" x14ac:dyDescent="0.35">
      <c r="F71"/>
    </row>
    <row r="72" spans="6:6" x14ac:dyDescent="0.35">
      <c r="F72"/>
    </row>
    <row r="73" spans="6:6" x14ac:dyDescent="0.35">
      <c r="F73"/>
    </row>
    <row r="74" spans="6:6" x14ac:dyDescent="0.35">
      <c r="F74"/>
    </row>
    <row r="75" spans="6:6" x14ac:dyDescent="0.35">
      <c r="F75"/>
    </row>
    <row r="76" spans="6:6" x14ac:dyDescent="0.35">
      <c r="F76"/>
    </row>
    <row r="77" spans="6:6" x14ac:dyDescent="0.35">
      <c r="F77"/>
    </row>
    <row r="78" spans="6:6" x14ac:dyDescent="0.35">
      <c r="F78"/>
    </row>
    <row r="79" spans="6:6" x14ac:dyDescent="0.35">
      <c r="F79"/>
    </row>
    <row r="80" spans="6:6" x14ac:dyDescent="0.35">
      <c r="F80"/>
    </row>
    <row r="81" spans="6:6" x14ac:dyDescent="0.35">
      <c r="F81"/>
    </row>
    <row r="82" spans="6:6" x14ac:dyDescent="0.35">
      <c r="F82"/>
    </row>
    <row r="83" spans="6:6" x14ac:dyDescent="0.35">
      <c r="F83"/>
    </row>
    <row r="84" spans="6:6" x14ac:dyDescent="0.35">
      <c r="F84"/>
    </row>
    <row r="85" spans="6:6" x14ac:dyDescent="0.35">
      <c r="F85"/>
    </row>
    <row r="86" spans="6:6" x14ac:dyDescent="0.35">
      <c r="F86"/>
    </row>
    <row r="87" spans="6:6" x14ac:dyDescent="0.35">
      <c r="F87"/>
    </row>
    <row r="88" spans="6:6" x14ac:dyDescent="0.35">
      <c r="F88"/>
    </row>
    <row r="89" spans="6:6" x14ac:dyDescent="0.35">
      <c r="F89"/>
    </row>
    <row r="90" spans="6:6" x14ac:dyDescent="0.35">
      <c r="F90"/>
    </row>
    <row r="91" spans="6:6" x14ac:dyDescent="0.35">
      <c r="F91"/>
    </row>
    <row r="92" spans="6:6" x14ac:dyDescent="0.35">
      <c r="F92"/>
    </row>
    <row r="93" spans="6:6" x14ac:dyDescent="0.35">
      <c r="F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36328125" style="79" customWidth="1"/>
    <col min="13" max="16384" width="17.1796875" style="79"/>
  </cols>
  <sheetData>
    <row r="2" spans="2:13" x14ac:dyDescent="0.45">
      <c r="B2" s="78" t="s">
        <v>417</v>
      </c>
      <c r="C2" s="78"/>
      <c r="H2" s="78" t="s">
        <v>422</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422</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08984375" style="25" customWidth="1"/>
    <col min="3" max="3" width="15.90625" style="23" customWidth="1"/>
    <col min="4" max="4" width="20" style="59" bestFit="1" customWidth="1"/>
    <col min="5" max="5" width="31.453125" style="23" customWidth="1"/>
    <col min="6" max="6" width="36.453125" style="23" customWidth="1"/>
    <col min="7" max="7" width="53.089843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384" t="s">
        <v>131</v>
      </c>
      <c r="C12" s="57" t="s">
        <v>318</v>
      </c>
      <c r="D12" s="61">
        <v>260870960</v>
      </c>
      <c r="E12" s="57" t="s">
        <v>316</v>
      </c>
      <c r="F12" s="57" t="s">
        <v>266</v>
      </c>
      <c r="G12" s="56" t="s">
        <v>138</v>
      </c>
    </row>
    <row r="13" spans="2:7" ht="33" x14ac:dyDescent="0.35">
      <c r="B13" s="388"/>
      <c r="C13" s="57" t="s">
        <v>319</v>
      </c>
      <c r="D13" s="61">
        <v>206558000</v>
      </c>
      <c r="E13" s="57" t="s">
        <v>316</v>
      </c>
      <c r="F13" s="57" t="s">
        <v>266</v>
      </c>
      <c r="G13" s="56" t="s">
        <v>138</v>
      </c>
    </row>
    <row r="14" spans="2:7" ht="33" x14ac:dyDescent="0.35">
      <c r="B14" s="388"/>
      <c r="C14" s="57" t="s">
        <v>320</v>
      </c>
      <c r="D14" s="61">
        <v>171068294</v>
      </c>
      <c r="E14" s="57" t="s">
        <v>316</v>
      </c>
      <c r="F14" s="57" t="s">
        <v>266</v>
      </c>
      <c r="G14" s="56" t="s">
        <v>138</v>
      </c>
    </row>
    <row r="15" spans="2:7" ht="33" x14ac:dyDescent="0.35">
      <c r="B15" s="388"/>
      <c r="C15" s="57" t="s">
        <v>321</v>
      </c>
      <c r="D15" s="61">
        <v>229431788</v>
      </c>
      <c r="E15" s="57" t="s">
        <v>316</v>
      </c>
      <c r="F15" s="57" t="s">
        <v>266</v>
      </c>
      <c r="G15" s="56" t="s">
        <v>138</v>
      </c>
    </row>
    <row r="16" spans="2:7" ht="33" x14ac:dyDescent="0.35">
      <c r="B16" s="385"/>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389" t="s">
        <v>94</v>
      </c>
      <c r="C23" s="392" t="s">
        <v>324</v>
      </c>
      <c r="D23" s="88">
        <v>162500000</v>
      </c>
      <c r="E23" s="90" t="s">
        <v>325</v>
      </c>
      <c r="F23" s="90" t="s">
        <v>259</v>
      </c>
      <c r="G23" s="89" t="s">
        <v>138</v>
      </c>
    </row>
    <row r="24" spans="2:11" ht="33" x14ac:dyDescent="0.35">
      <c r="B24" s="390"/>
      <c r="C24" s="393"/>
      <c r="D24" s="88">
        <v>698601047</v>
      </c>
      <c r="E24" s="90" t="s">
        <v>326</v>
      </c>
      <c r="F24" s="90" t="s">
        <v>260</v>
      </c>
      <c r="G24" s="89" t="s">
        <v>327</v>
      </c>
    </row>
    <row r="25" spans="2:11" ht="33" x14ac:dyDescent="0.35">
      <c r="B25" s="391"/>
      <c r="C25" s="394"/>
      <c r="D25" s="88">
        <v>387093222</v>
      </c>
      <c r="E25" s="90" t="s">
        <v>328</v>
      </c>
      <c r="F25" s="90" t="s">
        <v>262</v>
      </c>
      <c r="G25" s="89" t="s">
        <v>138</v>
      </c>
    </row>
    <row r="26" spans="2:11" ht="33" x14ac:dyDescent="0.35">
      <c r="B26" s="384" t="s">
        <v>99</v>
      </c>
      <c r="C26" s="386" t="s">
        <v>329</v>
      </c>
      <c r="D26" s="61">
        <v>1275620000</v>
      </c>
      <c r="E26" s="57" t="s">
        <v>330</v>
      </c>
      <c r="F26" s="57" t="s">
        <v>258</v>
      </c>
      <c r="G26" s="56" t="s">
        <v>138</v>
      </c>
    </row>
    <row r="27" spans="2:11" ht="49.5" x14ac:dyDescent="0.35">
      <c r="B27" s="385"/>
      <c r="C27" s="387"/>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384" t="s">
        <v>107</v>
      </c>
      <c r="C29" s="386" t="s">
        <v>334</v>
      </c>
      <c r="D29" s="61">
        <v>4450000000</v>
      </c>
      <c r="E29" s="57" t="s">
        <v>333</v>
      </c>
      <c r="F29" s="57" t="s">
        <v>267</v>
      </c>
      <c r="G29" s="56" t="s">
        <v>423</v>
      </c>
    </row>
    <row r="30" spans="2:11" ht="33" x14ac:dyDescent="0.35">
      <c r="B30" s="385"/>
      <c r="C30" s="387"/>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H24" zoomScale="55" zoomScaleNormal="55" workbookViewId="0">
      <selection activeCell="L47" sqref="L47:L63"/>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75.632812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36328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464</v>
      </c>
    </row>
    <row r="5" spans="2:19" x14ac:dyDescent="0.35">
      <c r="B5" s="15" t="s">
        <v>100</v>
      </c>
      <c r="D5" s="15" t="s">
        <v>101</v>
      </c>
      <c r="F5" s="15" t="s">
        <v>102</v>
      </c>
      <c r="H5" s="15" t="s">
        <v>103</v>
      </c>
      <c r="I5" s="16">
        <v>8126</v>
      </c>
      <c r="J5" s="17" t="s">
        <v>213</v>
      </c>
      <c r="L5" s="15" t="s">
        <v>406</v>
      </c>
      <c r="M5"/>
      <c r="O5" t="s">
        <v>36</v>
      </c>
      <c r="Q5" t="s">
        <v>1287</v>
      </c>
    </row>
    <row r="6" spans="2:19" x14ac:dyDescent="0.35">
      <c r="B6" s="15" t="s">
        <v>108</v>
      </c>
      <c r="D6" s="15" t="s">
        <v>105</v>
      </c>
      <c r="F6" s="15" t="s">
        <v>110</v>
      </c>
      <c r="H6" s="15" t="s">
        <v>106</v>
      </c>
      <c r="I6" s="16">
        <v>8126</v>
      </c>
      <c r="J6" s="17" t="s">
        <v>214</v>
      </c>
      <c r="M6"/>
      <c r="O6" t="s">
        <v>46</v>
      </c>
      <c r="Q6" t="s">
        <v>406</v>
      </c>
    </row>
    <row r="7" spans="2:19" x14ac:dyDescent="0.35">
      <c r="B7" s="15" t="s">
        <v>113</v>
      </c>
      <c r="D7" s="15" t="s">
        <v>109</v>
      </c>
      <c r="F7" s="15" t="s">
        <v>115</v>
      </c>
      <c r="H7" s="15" t="s">
        <v>111</v>
      </c>
      <c r="I7" s="16">
        <v>8126</v>
      </c>
      <c r="J7" s="17" t="s">
        <v>215</v>
      </c>
      <c r="M7"/>
      <c r="O7" t="s">
        <v>163</v>
      </c>
    </row>
    <row r="8" spans="2:19" x14ac:dyDescent="0.35">
      <c r="B8" s="15" t="s">
        <v>118</v>
      </c>
      <c r="D8" s="15" t="s">
        <v>114</v>
      </c>
      <c r="F8" s="15" t="s">
        <v>120</v>
      </c>
      <c r="H8" s="15" t="s">
        <v>116</v>
      </c>
      <c r="I8" s="16">
        <v>8126</v>
      </c>
      <c r="J8" s="17" t="s">
        <v>216</v>
      </c>
      <c r="M8"/>
      <c r="O8" t="s">
        <v>164</v>
      </c>
    </row>
    <row r="9" spans="2:19" x14ac:dyDescent="0.35">
      <c r="B9" s="15" t="s">
        <v>123</v>
      </c>
      <c r="D9" s="15" t="s">
        <v>119</v>
      </c>
      <c r="F9" s="15" t="s">
        <v>125</v>
      </c>
      <c r="H9" s="15" t="s">
        <v>121</v>
      </c>
      <c r="I9" s="16">
        <v>8126</v>
      </c>
      <c r="J9" s="17" t="s">
        <v>217</v>
      </c>
      <c r="M9"/>
      <c r="O9" t="s">
        <v>166</v>
      </c>
    </row>
    <row r="10" spans="2:19" x14ac:dyDescent="0.35">
      <c r="B10" s="15" t="s">
        <v>128</v>
      </c>
      <c r="D10" s="15" t="s">
        <v>124</v>
      </c>
      <c r="F10" s="15" t="s">
        <v>130</v>
      </c>
      <c r="H10" s="15" t="s">
        <v>126</v>
      </c>
      <c r="I10" s="16">
        <v>8126</v>
      </c>
      <c r="J10" s="17" t="s">
        <v>218</v>
      </c>
      <c r="M10"/>
      <c r="O10" t="s">
        <v>165</v>
      </c>
    </row>
    <row r="11" spans="2:19" x14ac:dyDescent="0.35">
      <c r="B11" s="15" t="s">
        <v>348</v>
      </c>
      <c r="D11" s="15" t="s">
        <v>129</v>
      </c>
      <c r="F11" s="15" t="s">
        <v>134</v>
      </c>
      <c r="H11" s="15" t="s">
        <v>131</v>
      </c>
      <c r="I11" s="16">
        <v>8126</v>
      </c>
      <c r="J11" s="17" t="s">
        <v>219</v>
      </c>
      <c r="M11"/>
      <c r="O11" t="s">
        <v>167</v>
      </c>
    </row>
    <row r="12" spans="2:19" x14ac:dyDescent="0.35">
      <c r="D12" s="15" t="s">
        <v>133</v>
      </c>
      <c r="F12" s="15" t="s">
        <v>138</v>
      </c>
      <c r="H12" s="15" t="s">
        <v>135</v>
      </c>
      <c r="I12" s="16">
        <v>8126</v>
      </c>
      <c r="J12" s="17" t="s">
        <v>220</v>
      </c>
      <c r="M12"/>
      <c r="O12" t="s">
        <v>168</v>
      </c>
    </row>
    <row r="13" spans="2:19" x14ac:dyDescent="0.35">
      <c r="D13" s="15" t="s">
        <v>137</v>
      </c>
      <c r="F13" s="15" t="s">
        <v>141</v>
      </c>
      <c r="H13" s="15" t="s">
        <v>94</v>
      </c>
      <c r="I13" s="16">
        <v>8173</v>
      </c>
      <c r="J13" s="17" t="s">
        <v>221</v>
      </c>
      <c r="M13"/>
      <c r="O13" t="s">
        <v>169</v>
      </c>
    </row>
    <row r="14" spans="2:19" x14ac:dyDescent="0.35">
      <c r="D14" s="15" t="s">
        <v>139</v>
      </c>
      <c r="F14" s="15" t="s">
        <v>143</v>
      </c>
      <c r="H14" s="15" t="s">
        <v>99</v>
      </c>
      <c r="I14" s="16">
        <v>8173</v>
      </c>
      <c r="J14" s="17" t="s">
        <v>222</v>
      </c>
      <c r="M14"/>
    </row>
    <row r="15" spans="2:19" x14ac:dyDescent="0.35">
      <c r="D15" s="15" t="s">
        <v>140</v>
      </c>
      <c r="F15" s="15" t="s">
        <v>145</v>
      </c>
      <c r="H15" s="15" t="s">
        <v>104</v>
      </c>
      <c r="I15" s="16">
        <v>8173</v>
      </c>
      <c r="J15" s="17" t="s">
        <v>223</v>
      </c>
      <c r="M15"/>
    </row>
    <row r="16" spans="2:19" x14ac:dyDescent="0.35">
      <c r="D16" s="15" t="s">
        <v>142</v>
      </c>
      <c r="F16" s="15" t="s">
        <v>147</v>
      </c>
      <c r="H16" s="15" t="s">
        <v>107</v>
      </c>
      <c r="I16" s="16">
        <v>8173</v>
      </c>
      <c r="J16" s="17" t="s">
        <v>224</v>
      </c>
      <c r="M16"/>
    </row>
    <row r="17" spans="4:13" x14ac:dyDescent="0.35">
      <c r="D17" s="15" t="s">
        <v>144</v>
      </c>
      <c r="F17" s="15" t="s">
        <v>170</v>
      </c>
      <c r="H17" s="15" t="s">
        <v>112</v>
      </c>
      <c r="I17" s="16">
        <v>8173</v>
      </c>
      <c r="J17" s="17" t="s">
        <v>225</v>
      </c>
      <c r="M17"/>
    </row>
    <row r="18" spans="4:13" x14ac:dyDescent="0.35">
      <c r="D18" s="15" t="s">
        <v>146</v>
      </c>
      <c r="F18" s="15" t="s">
        <v>1030</v>
      </c>
      <c r="H18" s="15" t="s">
        <v>117</v>
      </c>
      <c r="I18" s="16">
        <v>8173</v>
      </c>
      <c r="J18" s="17" t="s">
        <v>226</v>
      </c>
      <c r="M18"/>
    </row>
    <row r="19" spans="4:13" x14ac:dyDescent="0.35">
      <c r="D19" s="15" t="s">
        <v>148</v>
      </c>
      <c r="F19" s="15" t="s">
        <v>1026</v>
      </c>
      <c r="H19" s="15" t="s">
        <v>122</v>
      </c>
      <c r="I19" s="16">
        <v>8173</v>
      </c>
      <c r="J19" s="17" t="s">
        <v>227</v>
      </c>
      <c r="M19"/>
    </row>
    <row r="20" spans="4:13" x14ac:dyDescent="0.35">
      <c r="D20" s="15" t="s">
        <v>149</v>
      </c>
      <c r="F20" s="15" t="s">
        <v>1027</v>
      </c>
      <c r="H20" s="15" t="s">
        <v>127</v>
      </c>
      <c r="I20" s="16">
        <v>8173</v>
      </c>
      <c r="J20" s="17" t="s">
        <v>228</v>
      </c>
      <c r="M20"/>
    </row>
    <row r="21" spans="4:13" x14ac:dyDescent="0.35">
      <c r="D21" s="15" t="s">
        <v>150</v>
      </c>
      <c r="F21" s="15" t="s">
        <v>1028</v>
      </c>
      <c r="H21" s="15" t="s">
        <v>132</v>
      </c>
      <c r="I21" s="16">
        <v>8173</v>
      </c>
      <c r="J21" s="17" t="s">
        <v>229</v>
      </c>
      <c r="M21"/>
    </row>
    <row r="22" spans="4:13" x14ac:dyDescent="0.35">
      <c r="D22" s="15" t="s">
        <v>151</v>
      </c>
      <c r="F22" s="15" t="s">
        <v>1029</v>
      </c>
      <c r="H22" s="15" t="s">
        <v>136</v>
      </c>
      <c r="I22" s="16">
        <v>8173</v>
      </c>
      <c r="J22" s="17" t="s">
        <v>230</v>
      </c>
      <c r="M22"/>
    </row>
    <row r="23" spans="4:13" x14ac:dyDescent="0.35">
      <c r="D23" s="15" t="s">
        <v>152</v>
      </c>
      <c r="F23" s="15" t="s">
        <v>443</v>
      </c>
      <c r="I23" s="16">
        <v>8173</v>
      </c>
      <c r="J23" s="17" t="s">
        <v>1025</v>
      </c>
      <c r="M23"/>
    </row>
    <row r="24" spans="4:13" x14ac:dyDescent="0.35">
      <c r="D24" s="15" t="s">
        <v>153</v>
      </c>
      <c r="F24" s="15" t="s">
        <v>444</v>
      </c>
      <c r="J24" s="15" t="s">
        <v>347</v>
      </c>
      <c r="M24"/>
    </row>
    <row r="25" spans="4:13" x14ac:dyDescent="0.35">
      <c r="D25" s="15" t="s">
        <v>154</v>
      </c>
      <c r="F25" s="15" t="s">
        <v>453</v>
      </c>
      <c r="M25"/>
    </row>
    <row r="26" spans="4:13" x14ac:dyDescent="0.35">
      <c r="D26" s="15" t="s">
        <v>155</v>
      </c>
      <c r="F26" s="15" t="s">
        <v>452</v>
      </c>
      <c r="M26"/>
    </row>
    <row r="27" spans="4:13" x14ac:dyDescent="0.35">
      <c r="D27" s="15" t="s">
        <v>156</v>
      </c>
      <c r="F27" s="15" t="s">
        <v>603</v>
      </c>
      <c r="H27" s="15" t="s">
        <v>407</v>
      </c>
      <c r="M27"/>
    </row>
    <row r="28" spans="4:13" x14ac:dyDescent="0.35">
      <c r="D28" s="15" t="s">
        <v>157</v>
      </c>
      <c r="F28" s="15" t="s">
        <v>442</v>
      </c>
      <c r="M28"/>
    </row>
    <row r="29" spans="4:13" x14ac:dyDescent="0.35">
      <c r="D29" s="15" t="s">
        <v>158</v>
      </c>
      <c r="F29" s="15" t="s">
        <v>348</v>
      </c>
      <c r="M29"/>
    </row>
    <row r="30" spans="4:13" x14ac:dyDescent="0.35">
      <c r="M30"/>
    </row>
    <row r="31" spans="4:13" x14ac:dyDescent="0.35">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398" t="s">
        <v>60</v>
      </c>
      <c r="F3" s="398"/>
      <c r="G3" s="398"/>
      <c r="H3" s="398"/>
      <c r="I3" s="398"/>
      <c r="J3" s="398"/>
    </row>
    <row r="5" spans="2:10" x14ac:dyDescent="0.35">
      <c r="B5" s="9" t="s">
        <v>49</v>
      </c>
      <c r="C5" s="7" t="s">
        <v>50</v>
      </c>
      <c r="E5" s="9" t="s">
        <v>0</v>
      </c>
      <c r="F5" s="9" t="s">
        <v>52</v>
      </c>
      <c r="G5" s="11">
        <v>7637</v>
      </c>
      <c r="H5" s="11">
        <v>7655</v>
      </c>
      <c r="I5" s="11">
        <v>7658</v>
      </c>
      <c r="J5" s="9" t="s">
        <v>54</v>
      </c>
    </row>
    <row r="6" spans="2:10" x14ac:dyDescent="0.35">
      <c r="B6" s="1">
        <v>7658</v>
      </c>
      <c r="C6" s="4">
        <v>32529175840</v>
      </c>
      <c r="E6" s="399" t="s">
        <v>45</v>
      </c>
      <c r="F6" s="399"/>
      <c r="G6" s="4"/>
      <c r="H6" s="4">
        <v>596500000</v>
      </c>
      <c r="I6" s="4"/>
      <c r="J6" s="4">
        <v>596500000</v>
      </c>
    </row>
    <row r="7" spans="2:10" x14ac:dyDescent="0.35">
      <c r="B7" s="1">
        <v>7655</v>
      </c>
      <c r="C7" s="4">
        <v>6691034160</v>
      </c>
      <c r="E7" s="399" t="s">
        <v>44</v>
      </c>
      <c r="F7" s="399"/>
      <c r="G7" s="4"/>
      <c r="H7" s="4">
        <v>403500000</v>
      </c>
      <c r="I7" s="4"/>
      <c r="J7" s="4">
        <v>403500000</v>
      </c>
    </row>
    <row r="8" spans="2:10" x14ac:dyDescent="0.35">
      <c r="B8" s="1">
        <v>7637</v>
      </c>
      <c r="C8" s="4">
        <v>3299800000</v>
      </c>
      <c r="E8" s="399" t="s">
        <v>36</v>
      </c>
      <c r="F8" s="399"/>
      <c r="G8" s="4">
        <v>3299800000</v>
      </c>
      <c r="H8" s="4">
        <v>900200000</v>
      </c>
      <c r="I8" s="4"/>
      <c r="J8" s="4">
        <v>4200000000</v>
      </c>
    </row>
    <row r="9" spans="2:10" x14ac:dyDescent="0.35">
      <c r="B9" s="9" t="s">
        <v>51</v>
      </c>
      <c r="C9" s="8">
        <v>42520010000</v>
      </c>
      <c r="E9" s="399" t="s">
        <v>46</v>
      </c>
      <c r="F9" s="399"/>
      <c r="G9" s="4"/>
      <c r="H9" s="4">
        <v>432858000</v>
      </c>
      <c r="I9" s="4"/>
      <c r="J9" s="4">
        <v>432858000</v>
      </c>
    </row>
    <row r="10" spans="2:10" x14ac:dyDescent="0.35">
      <c r="E10" s="399" t="s">
        <v>32</v>
      </c>
      <c r="F10" s="399"/>
      <c r="G10" s="4"/>
      <c r="H10" s="4">
        <v>323006000</v>
      </c>
      <c r="I10" s="4"/>
      <c r="J10" s="4">
        <v>323006000</v>
      </c>
    </row>
    <row r="11" spans="2:10" x14ac:dyDescent="0.35">
      <c r="E11" s="399" t="s">
        <v>28</v>
      </c>
      <c r="F11" s="399"/>
      <c r="G11" s="4"/>
      <c r="H11" s="4">
        <v>1200000000</v>
      </c>
      <c r="I11" s="4"/>
      <c r="J11" s="4">
        <v>1200000000</v>
      </c>
    </row>
    <row r="12" spans="2:10" x14ac:dyDescent="0.35">
      <c r="E12" s="399" t="s">
        <v>3</v>
      </c>
      <c r="F12" s="399"/>
      <c r="G12" s="4"/>
      <c r="H12" s="4">
        <v>2214252160</v>
      </c>
      <c r="I12" s="4">
        <v>7786929840</v>
      </c>
      <c r="J12" s="4">
        <v>10001182000</v>
      </c>
    </row>
    <row r="13" spans="2:10" x14ac:dyDescent="0.35">
      <c r="E13" s="399" t="s">
        <v>29</v>
      </c>
      <c r="F13" s="399"/>
      <c r="G13" s="4"/>
      <c r="H13" s="4">
        <v>170000000</v>
      </c>
      <c r="I13" s="4">
        <v>3730000000</v>
      </c>
      <c r="J13" s="4">
        <v>3900000000</v>
      </c>
    </row>
    <row r="14" spans="2:10" x14ac:dyDescent="0.35">
      <c r="E14" s="399" t="s">
        <v>33</v>
      </c>
      <c r="F14" s="399"/>
      <c r="G14" s="4"/>
      <c r="H14" s="4">
        <v>450718000</v>
      </c>
      <c r="I14" s="4">
        <v>1449282000</v>
      </c>
      <c r="J14" s="4">
        <v>1900000000</v>
      </c>
    </row>
    <row r="15" spans="2:10" x14ac:dyDescent="0.35">
      <c r="E15" s="399" t="s">
        <v>19</v>
      </c>
      <c r="F15" s="399"/>
      <c r="G15" s="4"/>
      <c r="H15" s="4"/>
      <c r="I15" s="4">
        <v>10011982000</v>
      </c>
      <c r="J15" s="4">
        <v>10011982000</v>
      </c>
    </row>
    <row r="16" spans="2:10" x14ac:dyDescent="0.35">
      <c r="E16" s="399" t="s">
        <v>47</v>
      </c>
      <c r="F16" s="399"/>
      <c r="G16" s="4"/>
      <c r="H16" s="4"/>
      <c r="I16" s="4">
        <v>9550982000</v>
      </c>
      <c r="J16" s="4">
        <v>9550982000</v>
      </c>
    </row>
    <row r="17" spans="3:10" x14ac:dyDescent="0.35">
      <c r="E17" s="400" t="s">
        <v>53</v>
      </c>
      <c r="F17" s="402"/>
      <c r="G17" s="8">
        <v>3299800000</v>
      </c>
      <c r="H17" s="8">
        <v>6691034160</v>
      </c>
      <c r="I17" s="8">
        <v>32529175840</v>
      </c>
      <c r="J17" s="8">
        <v>42520010000</v>
      </c>
    </row>
    <row r="20" spans="3:10" x14ac:dyDescent="0.35">
      <c r="C20" s="403" t="s">
        <v>62</v>
      </c>
      <c r="D20" s="403"/>
      <c r="E20" s="403"/>
      <c r="F20" s="403"/>
      <c r="G20" s="403"/>
    </row>
    <row r="22" spans="3:10" x14ac:dyDescent="0.35">
      <c r="C22" s="12" t="s">
        <v>63</v>
      </c>
    </row>
    <row r="23" spans="3:10" x14ac:dyDescent="0.35">
      <c r="C23" s="9" t="s">
        <v>55</v>
      </c>
      <c r="D23" s="13" t="s">
        <v>56</v>
      </c>
      <c r="E23" s="395" t="s">
        <v>0</v>
      </c>
      <c r="F23" s="395"/>
      <c r="G23" s="9" t="s">
        <v>57</v>
      </c>
    </row>
    <row r="24" spans="3:10" x14ac:dyDescent="0.35">
      <c r="C24" s="3" t="s">
        <v>35</v>
      </c>
      <c r="D24" s="6" t="s">
        <v>34</v>
      </c>
      <c r="E24" s="399" t="s">
        <v>33</v>
      </c>
      <c r="F24" s="399"/>
      <c r="G24" s="4">
        <v>1449282000</v>
      </c>
    </row>
    <row r="25" spans="3:10" x14ac:dyDescent="0.35">
      <c r="C25" s="3" t="s">
        <v>31</v>
      </c>
      <c r="D25" s="6" t="s">
        <v>30</v>
      </c>
      <c r="E25" s="399" t="s">
        <v>29</v>
      </c>
      <c r="F25" s="399"/>
      <c r="G25" s="4">
        <v>3730000000</v>
      </c>
    </row>
    <row r="26" spans="3:10" x14ac:dyDescent="0.35">
      <c r="C26" s="3" t="s">
        <v>6</v>
      </c>
      <c r="D26" s="6" t="s">
        <v>9</v>
      </c>
      <c r="E26" s="399" t="s">
        <v>3</v>
      </c>
      <c r="F26" s="399"/>
      <c r="G26" s="4">
        <v>2822768000</v>
      </c>
    </row>
    <row r="27" spans="3:10" x14ac:dyDescent="0.35">
      <c r="C27" s="3" t="s">
        <v>6</v>
      </c>
      <c r="D27" s="6" t="s">
        <v>48</v>
      </c>
      <c r="E27" s="399" t="s">
        <v>47</v>
      </c>
      <c r="F27" s="399"/>
      <c r="G27" s="4">
        <v>9550982000</v>
      </c>
    </row>
    <row r="28" spans="3:10" x14ac:dyDescent="0.35">
      <c r="C28" s="3" t="s">
        <v>6</v>
      </c>
      <c r="D28" s="6" t="s">
        <v>23</v>
      </c>
      <c r="E28" s="399" t="s">
        <v>19</v>
      </c>
      <c r="F28" s="399"/>
      <c r="G28" s="4">
        <v>2028491000</v>
      </c>
    </row>
    <row r="29" spans="3:10" x14ac:dyDescent="0.35">
      <c r="C29" s="3" t="s">
        <v>6</v>
      </c>
      <c r="D29" s="6" t="s">
        <v>21</v>
      </c>
      <c r="E29" s="399" t="s">
        <v>19</v>
      </c>
      <c r="F29" s="399"/>
      <c r="G29" s="4">
        <v>7983491000</v>
      </c>
    </row>
    <row r="30" spans="3:10" x14ac:dyDescent="0.35">
      <c r="C30" s="3" t="s">
        <v>18</v>
      </c>
      <c r="D30" s="6" t="s">
        <v>17</v>
      </c>
      <c r="E30" s="399" t="s">
        <v>3</v>
      </c>
      <c r="F30" s="399"/>
      <c r="G30" s="4">
        <v>100000000</v>
      </c>
    </row>
    <row r="31" spans="3:10" x14ac:dyDescent="0.35">
      <c r="C31" s="3" t="s">
        <v>15</v>
      </c>
      <c r="D31" s="6" t="s">
        <v>14</v>
      </c>
      <c r="E31" s="399" t="s">
        <v>3</v>
      </c>
      <c r="F31" s="399"/>
      <c r="G31" s="4">
        <v>4864161840</v>
      </c>
    </row>
    <row r="32" spans="3:10" x14ac:dyDescent="0.35">
      <c r="C32" s="400" t="s">
        <v>27</v>
      </c>
      <c r="D32" s="401"/>
      <c r="E32" s="401"/>
      <c r="F32" s="402"/>
      <c r="G32" s="8">
        <f>SUM(G24:G31)</f>
        <v>32529175840</v>
      </c>
    </row>
    <row r="34" spans="3:7" x14ac:dyDescent="0.35">
      <c r="C34" s="12" t="s">
        <v>64</v>
      </c>
    </row>
    <row r="35" spans="3:7" x14ac:dyDescent="0.35">
      <c r="C35" s="9" t="s">
        <v>55</v>
      </c>
      <c r="D35" s="13" t="s">
        <v>56</v>
      </c>
      <c r="E35" s="395" t="s">
        <v>0</v>
      </c>
      <c r="F35" s="395"/>
      <c r="G35" s="9" t="s">
        <v>57</v>
      </c>
    </row>
    <row r="36" spans="3:7" x14ac:dyDescent="0.35">
      <c r="C36" s="6" t="s">
        <v>16</v>
      </c>
      <c r="D36" s="2" t="s">
        <v>5</v>
      </c>
      <c r="E36" s="399" t="s">
        <v>45</v>
      </c>
      <c r="F36" s="399"/>
      <c r="G36" s="2">
        <v>596500000</v>
      </c>
    </row>
    <row r="37" spans="3:7" x14ac:dyDescent="0.35">
      <c r="C37" s="6" t="s">
        <v>16</v>
      </c>
      <c r="D37" s="2" t="s">
        <v>5</v>
      </c>
      <c r="E37" s="399" t="s">
        <v>44</v>
      </c>
      <c r="F37" s="399"/>
      <c r="G37" s="2">
        <v>403500000</v>
      </c>
    </row>
    <row r="38" spans="3:7" x14ac:dyDescent="0.35">
      <c r="C38" s="6" t="s">
        <v>16</v>
      </c>
      <c r="D38" s="2" t="s">
        <v>5</v>
      </c>
      <c r="E38" s="399" t="s">
        <v>36</v>
      </c>
      <c r="F38" s="399"/>
      <c r="G38" s="2">
        <v>900200000</v>
      </c>
    </row>
    <row r="39" spans="3:7" x14ac:dyDescent="0.35">
      <c r="C39" s="6" t="s">
        <v>16</v>
      </c>
      <c r="D39" s="2" t="s">
        <v>5</v>
      </c>
      <c r="E39" s="399" t="s">
        <v>46</v>
      </c>
      <c r="F39" s="399"/>
      <c r="G39" s="2">
        <v>432858000</v>
      </c>
    </row>
    <row r="40" spans="3:7" x14ac:dyDescent="0.35">
      <c r="C40" s="6" t="s">
        <v>16</v>
      </c>
      <c r="D40" s="2" t="s">
        <v>5</v>
      </c>
      <c r="E40" s="399" t="s">
        <v>32</v>
      </c>
      <c r="F40" s="399"/>
      <c r="G40" s="2">
        <v>323006000</v>
      </c>
    </row>
    <row r="41" spans="3:7" x14ac:dyDescent="0.35">
      <c r="C41" s="6" t="s">
        <v>16</v>
      </c>
      <c r="D41" s="2" t="s">
        <v>5</v>
      </c>
      <c r="E41" s="399" t="s">
        <v>28</v>
      </c>
      <c r="F41" s="399"/>
      <c r="G41" s="2">
        <v>1200000000</v>
      </c>
    </row>
    <row r="42" spans="3:7" x14ac:dyDescent="0.35">
      <c r="C42" s="6" t="s">
        <v>16</v>
      </c>
      <c r="D42" s="2" t="s">
        <v>5</v>
      </c>
      <c r="E42" s="399" t="s">
        <v>3</v>
      </c>
      <c r="F42" s="399"/>
      <c r="G42" s="2">
        <v>2214252160</v>
      </c>
    </row>
    <row r="43" spans="3:7" x14ac:dyDescent="0.35">
      <c r="C43" s="6" t="s">
        <v>16</v>
      </c>
      <c r="D43" s="2" t="s">
        <v>5</v>
      </c>
      <c r="E43" s="399" t="s">
        <v>29</v>
      </c>
      <c r="F43" s="399"/>
      <c r="G43" s="2">
        <v>170000000</v>
      </c>
    </row>
    <row r="44" spans="3:7" x14ac:dyDescent="0.35">
      <c r="C44" s="6" t="s">
        <v>16</v>
      </c>
      <c r="D44" s="2" t="s">
        <v>5</v>
      </c>
      <c r="E44" s="399" t="s">
        <v>33</v>
      </c>
      <c r="F44" s="399"/>
      <c r="G44" s="2">
        <v>450718000</v>
      </c>
    </row>
    <row r="45" spans="3:7" x14ac:dyDescent="0.35">
      <c r="C45" s="400" t="s">
        <v>27</v>
      </c>
      <c r="D45" s="401"/>
      <c r="E45" s="401"/>
      <c r="F45" s="402"/>
      <c r="G45" s="8">
        <f>SUM(G36:G44)</f>
        <v>6691034160</v>
      </c>
    </row>
    <row r="47" spans="3:7" x14ac:dyDescent="0.35">
      <c r="C47" s="12" t="s">
        <v>65</v>
      </c>
    </row>
    <row r="48" spans="3:7" x14ac:dyDescent="0.35">
      <c r="C48" s="9" t="s">
        <v>55</v>
      </c>
      <c r="D48" s="13" t="s">
        <v>56</v>
      </c>
      <c r="E48" s="395" t="s">
        <v>0</v>
      </c>
      <c r="F48" s="395"/>
      <c r="G48" s="9" t="s">
        <v>57</v>
      </c>
    </row>
    <row r="49" spans="3:7" x14ac:dyDescent="0.35">
      <c r="C49" s="6" t="s">
        <v>39</v>
      </c>
      <c r="D49" s="2" t="s">
        <v>41</v>
      </c>
      <c r="E49" s="399" t="s">
        <v>36</v>
      </c>
      <c r="F49" s="399"/>
      <c r="G49" s="6">
        <v>575315000</v>
      </c>
    </row>
    <row r="50" spans="3:7" x14ac:dyDescent="0.35">
      <c r="C50" s="6" t="s">
        <v>39</v>
      </c>
      <c r="D50" s="2" t="s">
        <v>38</v>
      </c>
      <c r="E50" s="399" t="s">
        <v>36</v>
      </c>
      <c r="F50" s="399"/>
      <c r="G50" s="6">
        <v>2724485000</v>
      </c>
    </row>
    <row r="51" spans="3:7" x14ac:dyDescent="0.35">
      <c r="C51" s="400" t="s">
        <v>27</v>
      </c>
      <c r="D51" s="401"/>
      <c r="E51" s="401"/>
      <c r="F51" s="402"/>
      <c r="G51" s="7">
        <f>SUM(G49:G50)</f>
        <v>3299800000</v>
      </c>
    </row>
    <row r="54" spans="3:7" x14ac:dyDescent="0.35">
      <c r="C54" s="14"/>
      <c r="D54" s="14"/>
      <c r="E54" s="398" t="s">
        <v>58</v>
      </c>
      <c r="F54" s="398"/>
      <c r="G54" s="398"/>
    </row>
    <row r="56" spans="3:7" x14ac:dyDescent="0.35">
      <c r="E56" s="12" t="s">
        <v>63</v>
      </c>
    </row>
    <row r="57" spans="3:7" x14ac:dyDescent="0.35">
      <c r="E57" s="395" t="s">
        <v>61</v>
      </c>
      <c r="F57" s="395"/>
      <c r="G57" s="9" t="s">
        <v>57</v>
      </c>
    </row>
    <row r="58" spans="3:7" x14ac:dyDescent="0.35">
      <c r="E58" s="396" t="s">
        <v>10</v>
      </c>
      <c r="F58" s="396"/>
      <c r="G58" s="6">
        <v>2490000000</v>
      </c>
    </row>
    <row r="59" spans="3:7" x14ac:dyDescent="0.35">
      <c r="E59" s="396" t="s">
        <v>22</v>
      </c>
      <c r="F59" s="396"/>
      <c r="G59" s="6">
        <v>1400000000</v>
      </c>
    </row>
    <row r="60" spans="3:7" x14ac:dyDescent="0.35">
      <c r="E60" s="396" t="s">
        <v>26</v>
      </c>
      <c r="F60" s="396"/>
      <c r="G60" s="6">
        <v>60000000</v>
      </c>
    </row>
    <row r="61" spans="3:7" x14ac:dyDescent="0.35">
      <c r="E61" s="396" t="s">
        <v>11</v>
      </c>
      <c r="F61" s="396"/>
      <c r="G61" s="6">
        <v>12229155840</v>
      </c>
    </row>
    <row r="62" spans="3:7" x14ac:dyDescent="0.35">
      <c r="E62" s="396" t="s">
        <v>24</v>
      </c>
      <c r="F62" s="396"/>
      <c r="G62" s="6">
        <v>375000000</v>
      </c>
    </row>
    <row r="63" spans="3:7" x14ac:dyDescent="0.35">
      <c r="E63" s="396" t="s">
        <v>7</v>
      </c>
      <c r="F63" s="396"/>
      <c r="G63" s="6">
        <v>92758400</v>
      </c>
    </row>
    <row r="64" spans="3:7" x14ac:dyDescent="0.35">
      <c r="E64" s="396" t="s">
        <v>25</v>
      </c>
      <c r="F64" s="396"/>
      <c r="G64" s="6">
        <v>120000000</v>
      </c>
    </row>
    <row r="65" spans="5:7" x14ac:dyDescent="0.35">
      <c r="E65" s="396" t="s">
        <v>4</v>
      </c>
      <c r="F65" s="396"/>
      <c r="G65" s="6">
        <v>10259061600</v>
      </c>
    </row>
    <row r="66" spans="5:7" x14ac:dyDescent="0.35">
      <c r="E66" s="396" t="s">
        <v>13</v>
      </c>
      <c r="F66" s="396"/>
      <c r="G66" s="6">
        <v>500000000</v>
      </c>
    </row>
    <row r="67" spans="5:7" x14ac:dyDescent="0.35">
      <c r="E67" s="396" t="s">
        <v>12</v>
      </c>
      <c r="F67" s="396"/>
      <c r="G67" s="6">
        <v>100000000</v>
      </c>
    </row>
    <row r="68" spans="5:7" x14ac:dyDescent="0.35">
      <c r="E68" s="396" t="s">
        <v>20</v>
      </c>
      <c r="F68" s="396"/>
      <c r="G68" s="6">
        <v>4350000000</v>
      </c>
    </row>
    <row r="69" spans="5:7" x14ac:dyDescent="0.35">
      <c r="E69" s="396" t="s">
        <v>8</v>
      </c>
      <c r="F69" s="396"/>
      <c r="G69" s="6">
        <v>553200000</v>
      </c>
    </row>
    <row r="70" spans="5:7" x14ac:dyDescent="0.35">
      <c r="E70" s="397" t="s">
        <v>27</v>
      </c>
      <c r="F70" s="397"/>
      <c r="G70" s="7">
        <f>SUM(G58:G69)</f>
        <v>32529175840</v>
      </c>
    </row>
    <row r="72" spans="5:7" x14ac:dyDescent="0.35">
      <c r="E72" s="12" t="s">
        <v>64</v>
      </c>
    </row>
    <row r="73" spans="5:7" x14ac:dyDescent="0.35">
      <c r="E73" s="395" t="s">
        <v>61</v>
      </c>
      <c r="F73" s="395"/>
      <c r="G73" s="9" t="s">
        <v>57</v>
      </c>
    </row>
    <row r="74" spans="5:7" x14ac:dyDescent="0.35">
      <c r="E74" s="396" t="s">
        <v>7</v>
      </c>
      <c r="F74" s="396"/>
      <c r="G74" s="6">
        <v>1177022750</v>
      </c>
    </row>
    <row r="75" spans="5:7" x14ac:dyDescent="0.35">
      <c r="E75" s="396" t="s">
        <v>4</v>
      </c>
      <c r="F75" s="396"/>
      <c r="G75" s="6">
        <v>5514011410</v>
      </c>
    </row>
    <row r="76" spans="5:7" x14ac:dyDescent="0.35">
      <c r="E76" s="397" t="s">
        <v>27</v>
      </c>
      <c r="F76" s="397"/>
      <c r="G76" s="7">
        <f>SUM(G74:G75)</f>
        <v>6691034160</v>
      </c>
    </row>
    <row r="79" spans="5:7" x14ac:dyDescent="0.35">
      <c r="E79" s="12" t="s">
        <v>65</v>
      </c>
    </row>
    <row r="80" spans="5:7" x14ac:dyDescent="0.35">
      <c r="E80" s="395" t="s">
        <v>61</v>
      </c>
      <c r="F80" s="395"/>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397" t="s">
        <v>27</v>
      </c>
      <c r="F86" s="397"/>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PAA VR21 -2025 UAECOB BCS</vt:lpstr>
      <vt:lpstr>PAA</vt:lpstr>
      <vt:lpstr>Control PAA Vr0</vt:lpstr>
      <vt:lpstr>Distribución Pptal Inv</vt:lpstr>
      <vt:lpstr>TD</vt:lpstr>
      <vt:lpstr>resumen</vt:lpstr>
      <vt:lpstr>'PAA VR21 -2025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2025-12-29T17:57:21Z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